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5" yWindow="65311" windowWidth="15435" windowHeight="12570" tabRatio="737" activeTab="1"/>
  </bookViews>
  <sheets>
    <sheet name="AÑOS" sheetId="1" r:id="rId1"/>
    <sheet name="OSORNO" sheetId="2" r:id="rId2"/>
    <sheet name="PURRANQUE" sheetId="3" r:id="rId3"/>
    <sheet name="RÍO NEGRO" sheetId="4" r:id="rId4"/>
    <sheet name="PUERTO OCTAY" sheetId="5" r:id="rId5"/>
    <sheet name="PUYEHUE" sheetId="6" r:id="rId6"/>
    <sheet name="SAN PABLO" sheetId="7" r:id="rId7"/>
    <sheet name="SAN JUAN COSTA" sheetId="8" r:id="rId8"/>
  </sheets>
  <definedNames>
    <definedName name="_xlnm.Print_Titles" localSheetId="1">'OSORNO'!$1:$5</definedName>
  </definedNames>
  <calcPr fullCalcOnLoad="1"/>
</workbook>
</file>

<file path=xl/sharedStrings.xml><?xml version="1.0" encoding="utf-8"?>
<sst xmlns="http://schemas.openxmlformats.org/spreadsheetml/2006/main" count="991" uniqueCount="106">
  <si>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</si>
  <si>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</si>
  <si>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</si>
  <si>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</si>
  <si>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</si>
  <si>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</si>
  <si>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</si>
  <si>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</si>
  <si>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</si>
  <si>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</si>
  <si>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</si>
  <si>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</si>
  <si>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</si>
  <si>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</si>
  <si>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</si>
  <si>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</si>
  <si>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</si>
  <si>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</si>
  <si>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</si>
  <si>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</si>
  <si>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</si>
  <si>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</si>
  <si>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</si>
  <si>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</si>
  <si>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</si>
  <si>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</si>
  <si>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</si>
  <si>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PURRANQUE</t>
  </si>
  <si>
    <t>RIO NEGRO</t>
  </si>
  <si>
    <t>PUERTO OCTAY</t>
  </si>
  <si>
    <t>PUYEHUE</t>
  </si>
  <si>
    <t>SAN JUAN DE LA COSTA</t>
  </si>
  <si>
    <t xml:space="preserve"> 0 - 4</t>
  </si>
  <si>
    <t>SAN PABLO</t>
  </si>
  <si>
    <t>Total</t>
  </si>
  <si>
    <t xml:space="preserve">Mujeres </t>
  </si>
  <si>
    <t>COMUNAS</t>
  </si>
  <si>
    <t>Osorno</t>
  </si>
  <si>
    <t>Pto. Octay</t>
  </si>
  <si>
    <t>Purranque</t>
  </si>
  <si>
    <t>Puyehue</t>
  </si>
  <si>
    <t>Río Negro</t>
  </si>
  <si>
    <t>Sn. J. Costa</t>
  </si>
  <si>
    <t>San Pablo</t>
  </si>
  <si>
    <t>Código:</t>
  </si>
  <si>
    <t>Grupos 
de edad</t>
  </si>
  <si>
    <t>Año 
2006</t>
  </si>
  <si>
    <t>Año 
2007</t>
  </si>
  <si>
    <t>Año 
2008</t>
  </si>
  <si>
    <t>Año 
2009</t>
  </si>
  <si>
    <t>Año 
2010</t>
  </si>
  <si>
    <t>Año 
2011</t>
  </si>
  <si>
    <t>Año
2013</t>
  </si>
  <si>
    <r>
      <rPr>
        <b/>
        <sz val="10"/>
        <color indexed="9"/>
        <rFont val="Arial"/>
        <family val="2"/>
      </rPr>
      <t xml:space="preserve">Año 
2011 
</t>
    </r>
    <r>
      <rPr>
        <sz val="8"/>
        <color indexed="9"/>
        <rFont val="Arial"/>
        <family val="2"/>
      </rPr>
      <t>(según nueva Res. de Fonasa)</t>
    </r>
  </si>
  <si>
    <r>
      <t xml:space="preserve">Año 
2015 
</t>
    </r>
    <r>
      <rPr>
        <sz val="10"/>
        <color indexed="9"/>
        <rFont val="Arial"/>
        <family val="2"/>
      </rPr>
      <t>(</t>
    </r>
    <r>
      <rPr>
        <sz val="8"/>
        <color indexed="9"/>
        <rFont val="Arial"/>
        <family val="2"/>
      </rPr>
      <t>según mail Fonasa 20/12/2014)</t>
    </r>
  </si>
  <si>
    <r>
      <rPr>
        <b/>
        <sz val="10"/>
        <color indexed="9"/>
        <rFont val="Arial"/>
        <family val="2"/>
      </rPr>
      <t>Año 
2014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(según Ord. C52 Nº3.487 Subse. Redes) </t>
    </r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</si>
  <si>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Ord. Nº3.772  05/12/2011, Subse Redes)</t>
    </r>
  </si>
  <si>
    <t xml:space="preserve"> 6 años</t>
  </si>
  <si>
    <t>12 años</t>
  </si>
  <si>
    <t>65 y + años</t>
  </si>
  <si>
    <t xml:space="preserve"> 10 - 14</t>
  </si>
  <si>
    <t xml:space="preserve"> Hombres 20 - 44</t>
  </si>
  <si>
    <t>Mujeres 45 - 64</t>
  </si>
  <si>
    <t>odontologico</t>
  </si>
  <si>
    <t>60 años</t>
  </si>
  <si>
    <t>&lt; 20 años</t>
  </si>
  <si>
    <t>Meta IAAPS</t>
  </si>
  <si>
    <t>Comuna:</t>
  </si>
  <si>
    <t>POBLACIÓN INSCRITA VALIDADA FONASA PARA AÑOS 2006-2015 PROVINCIA OSORNO</t>
  </si>
  <si>
    <r>
      <rPr>
        <b/>
        <sz val="10"/>
        <color indexed="9"/>
        <rFont val="Arial"/>
        <family val="2"/>
      </rPr>
      <t>Año 
2012</t>
    </r>
    <r>
      <rPr>
        <b/>
        <sz val="9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(según archivo Fonasa, que modificará decreto anterior)</t>
    </r>
  </si>
  <si>
    <r>
      <t xml:space="preserve">Dif. 
</t>
    </r>
    <r>
      <rPr>
        <sz val="8"/>
        <color indexed="9"/>
        <rFont val="Arial"/>
        <family val="2"/>
      </rPr>
      <t>(2014-2013)</t>
    </r>
  </si>
  <si>
    <t>Dependencia Municipal: Riachuelo</t>
  </si>
  <si>
    <t>Dependencia Municipal: Purranque</t>
  </si>
  <si>
    <t>Dependencia Municipal: La Calo y Dependencia Servicio: Puerto Octay</t>
  </si>
  <si>
    <t>Dependencia Municipal: San Pablo y Dependencia Servicio: Mision Quilacahuin, Misión Quilacahuín (n=492)</t>
  </si>
  <si>
    <t>Dependencia Municipal: 6 Cesfam (Rahue Alto, Lopetegui, Ovejeria, P. Alegre, Jáuregui y V Centenario) y 2 Postas (Cancura, Pichi Damas)</t>
  </si>
  <si>
    <t>Dependencia Municipal: Entre Lagos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</si>
  <si>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Juan de la Costa considera toda la población de la Comuna.</t>
    </r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</si>
  <si>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DSM San Pablo considera toda la población de la Comuna.</t>
    </r>
  </si>
  <si>
    <t>POBLACIÓN INSCRITA VALIDADA POR FONASA AÑO 2015 SEGÚN SEXO Y EDAD</t>
  </si>
  <si>
    <t>POBLACIÓN INSCRITA VALIDADA POR FONASA y ASIGNADA POR SSO AÑO 2015 SEGÚN SEXO Y EDAD</t>
  </si>
  <si>
    <t>Dep. Municipal: Bahia Mansa y Puaucho. Dep. Servicio: Mision San Juan, Mision San Juan de la Costa (297)</t>
  </si>
  <si>
    <t>INSCRITA
COMUNA DE SAN PABLO</t>
  </si>
  <si>
    <t>ASIGNADA POR SSO
HOSPITAL P. SOCORRO QUILACAHUIN</t>
  </si>
  <si>
    <t>INSCRITA
COMUNA DE PUYEHUE</t>
  </si>
  <si>
    <t>INSCRITA
DEPTO. SALUD PUERTO OCTAY</t>
  </si>
  <si>
    <t>ASIGNADA
HOSPITAL PUERTO OCTAY</t>
  </si>
  <si>
    <t>INSCRITA
COMUNA DE OSORNO</t>
  </si>
  <si>
    <t>INSCRITA
CESFAM RAHUE ALTO</t>
  </si>
  <si>
    <t>INSCRITA
CESFAM DR. MARCELO LOPETEGUI</t>
  </si>
  <si>
    <t>INSCRITA
CESFAM OVEJERÍA</t>
  </si>
  <si>
    <t>INSCRITA
CESFAM PAMPA ALEGRE</t>
  </si>
  <si>
    <t>INSCRITA
CESFAM DR. PEDRO JÁUREGUI</t>
  </si>
  <si>
    <t>INSCRITA
CESFAM QUINTO CENTENARIO</t>
  </si>
  <si>
    <t>INSCRITA
POSTA CANCURA</t>
  </si>
  <si>
    <t>INSCRITA
POSTA PICHI DAMAS</t>
  </si>
  <si>
    <t>INSCRITA 
COMUNA DE PURRANQUE</t>
  </si>
  <si>
    <t>INSCRITA
COMUNA DE RIO NEGRO</t>
  </si>
  <si>
    <t>ASIGNADA POR SSO
DEPTO. SALUD SAN PABLO</t>
  </si>
  <si>
    <t>ASIGNADA POR SSO
HOSP. MISIÓN SAN JUAN DE LA COSTA</t>
  </si>
  <si>
    <t>ASIGNADA POR SSO
DEPTO. SALUD SAN JUAN DE LA COSTA</t>
  </si>
  <si>
    <t>INSCRITA
COMUNA DE SAN JUAN DE LA COSTA</t>
  </si>
  <si>
    <t>INSCRITA
CESFAM PUAUCHO</t>
  </si>
  <si>
    <t>INSCRITA
CESFAM BAHIA MANSA</t>
  </si>
  <si>
    <t>3 años</t>
  </si>
  <si>
    <t>4 años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</si>
</sst>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_-* #,##0.0_-;\-* #,##0.0_-;_-* &quot;-&quot;??_-;_-@_-"/>
    <numFmt numFmtId="170" formatCode="_-* #,##0_-;\-* #,##0_-;_-* &quot;-&quot;??_-;_-@_-"/>
    <numFmt numFmtId="171" formatCode="0.0000000"/>
    <numFmt numFmtId="172" formatCode="0.000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63"/>
      <name val="Calibri"/>
      <family val="2"/>
    </font>
    <font>
      <sz val="11"/>
      <color indexed="63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9"/>
      <color indexed="22"/>
      <name val="Arial"/>
      <family val="2"/>
    </font>
    <font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1"/>
      <color theme="6" tint="-0.24997000396251678"/>
      <name val="Arial"/>
      <family val="2"/>
    </font>
    <font>
      <sz val="11"/>
      <color theme="1" tint="0.34999001026153564"/>
      <name val="Calibri"/>
      <family val="2"/>
    </font>
    <font>
      <sz val="11"/>
      <color theme="1" tint="0.34999001026153564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11"/>
      <color rgb="FF00B050"/>
      <name val="Arial"/>
      <family val="2"/>
    </font>
    <font>
      <b/>
      <sz val="10"/>
      <color rgb="FFFF0000"/>
      <name val="Arial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8"/>
      <color theme="6" tint="-0.24997000396251678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0"/>
      <color rgb="FFC00000"/>
      <name val="Arial"/>
      <family val="2"/>
    </font>
    <font>
      <sz val="9"/>
      <color theme="0" tint="-0.1499900072813034"/>
      <name val="Arial"/>
      <family val="2"/>
    </font>
    <font>
      <sz val="10"/>
      <color rgb="FF00B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E4C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4" fillId="0" borderId="8" applyNumberFormat="0" applyFill="0" applyAlignment="0" applyProtection="0"/>
    <xf numFmtId="0" fontId="86" fillId="0" borderId="9" applyNumberFormat="0" applyFill="0" applyAlignment="0" applyProtection="0"/>
  </cellStyleXfs>
  <cellXfs count="2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21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7" fillId="0" borderId="13" xfId="0" applyFont="1" applyBorder="1" applyAlignment="1">
      <alignment/>
    </xf>
    <xf numFmtId="3" fontId="87" fillId="0" borderId="10" xfId="53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87" fillId="0" borderId="11" xfId="0" applyNumberFormat="1" applyFont="1" applyFill="1" applyBorder="1" applyAlignment="1">
      <alignment/>
    </xf>
    <xf numFmtId="3" fontId="87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16" fontId="24" fillId="0" borderId="0" xfId="0" applyNumberFormat="1" applyFont="1" applyFill="1" applyBorder="1" applyAlignment="1">
      <alignment/>
    </xf>
    <xf numFmtId="17" fontId="24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88" fillId="0" borderId="0" xfId="0" applyFont="1" applyFill="1" applyAlignment="1">
      <alignment/>
    </xf>
    <xf numFmtId="0" fontId="87" fillId="0" borderId="14" xfId="0" applyFont="1" applyBorder="1" applyAlignment="1">
      <alignment/>
    </xf>
    <xf numFmtId="0" fontId="8" fillId="0" borderId="0" xfId="0" applyFont="1" applyFill="1" applyAlignment="1">
      <alignment/>
    </xf>
    <xf numFmtId="3" fontId="88" fillId="0" borderId="0" xfId="0" applyNumberFormat="1" applyFont="1" applyFill="1" applyAlignment="1">
      <alignment/>
    </xf>
    <xf numFmtId="164" fontId="89" fillId="0" borderId="0" xfId="0" applyNumberFormat="1" applyFont="1" applyAlignment="1">
      <alignment/>
    </xf>
    <xf numFmtId="164" fontId="89" fillId="0" borderId="0" xfId="0" applyNumberFormat="1" applyFont="1" applyAlignment="1">
      <alignment horizontal="center"/>
    </xf>
    <xf numFmtId="164" fontId="8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justify"/>
    </xf>
    <xf numFmtId="0" fontId="17" fillId="0" borderId="0" xfId="0" applyFont="1" applyFill="1" applyBorder="1" applyAlignment="1">
      <alignment vertical="justify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justify"/>
    </xf>
    <xf numFmtId="0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6" fontId="2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13" fillId="33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90" fillId="0" borderId="11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2" fillId="19" borderId="19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/>
    </xf>
    <xf numFmtId="16" fontId="8" fillId="19" borderId="12" xfId="0" applyNumberFormat="1" applyFont="1" applyFill="1" applyBorder="1" applyAlignment="1">
      <alignment horizontal="center"/>
    </xf>
    <xf numFmtId="0" fontId="8" fillId="19" borderId="19" xfId="0" applyFont="1" applyFill="1" applyBorder="1" applyAlignment="1">
      <alignment/>
    </xf>
    <xf numFmtId="3" fontId="8" fillId="19" borderId="20" xfId="0" applyNumberFormat="1" applyFont="1" applyFill="1" applyBorder="1" applyAlignment="1">
      <alignment/>
    </xf>
    <xf numFmtId="3" fontId="8" fillId="19" borderId="19" xfId="0" applyNumberFormat="1" applyFont="1" applyFill="1" applyBorder="1" applyAlignment="1">
      <alignment/>
    </xf>
    <xf numFmtId="0" fontId="8" fillId="19" borderId="11" xfId="0" applyFont="1" applyFill="1" applyBorder="1" applyAlignment="1">
      <alignment horizontal="center"/>
    </xf>
    <xf numFmtId="16" fontId="8" fillId="19" borderId="10" xfId="0" applyNumberFormat="1" applyFont="1" applyFill="1" applyBorder="1" applyAlignment="1" quotePrefix="1">
      <alignment horizontal="center"/>
    </xf>
    <xf numFmtId="0" fontId="8" fillId="19" borderId="20" xfId="0" applyFont="1" applyFill="1" applyBorder="1" applyAlignment="1">
      <alignment horizontal="center"/>
    </xf>
    <xf numFmtId="3" fontId="8" fillId="19" borderId="22" xfId="0" applyNumberFormat="1" applyFont="1" applyFill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1" fillId="0" borderId="0" xfId="0" applyFont="1" applyAlignment="1">
      <alignment/>
    </xf>
    <xf numFmtId="3" fontId="8" fillId="19" borderId="21" xfId="0" applyNumberFormat="1" applyFont="1" applyFill="1" applyBorder="1" applyAlignment="1">
      <alignment/>
    </xf>
    <xf numFmtId="3" fontId="9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 vertical="center"/>
    </xf>
    <xf numFmtId="0" fontId="95" fillId="34" borderId="20" xfId="0" applyFont="1" applyFill="1" applyBorder="1" applyAlignment="1">
      <alignment horizontal="center" vertical="center"/>
    </xf>
    <xf numFmtId="0" fontId="96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7" fillId="0" borderId="0" xfId="0" applyFont="1" applyAlignment="1">
      <alignment/>
    </xf>
    <xf numFmtId="0" fontId="95" fillId="34" borderId="2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 horizontal="left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Alignment="1" quotePrefix="1">
      <alignment horizontal="center"/>
    </xf>
    <xf numFmtId="3" fontId="2" fillId="0" borderId="0" xfId="0" applyNumberFormat="1" applyFont="1" applyAlignment="1" quotePrefix="1">
      <alignment horizontal="center"/>
    </xf>
    <xf numFmtId="3" fontId="100" fillId="0" borderId="10" xfId="0" applyNumberFormat="1" applyFont="1" applyBorder="1" applyAlignment="1">
      <alignment/>
    </xf>
    <xf numFmtId="0" fontId="31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1" fillId="0" borderId="0" xfId="0" applyFont="1" applyAlignment="1">
      <alignment horizontal="left" vertical="center"/>
    </xf>
    <xf numFmtId="3" fontId="103" fillId="0" borderId="0" xfId="0" applyNumberFormat="1" applyFont="1" applyBorder="1" applyAlignment="1">
      <alignment vertical="center" wrapText="1"/>
    </xf>
    <xf numFmtId="0" fontId="104" fillId="0" borderId="12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3" fontId="105" fillId="0" borderId="0" xfId="0" applyNumberFormat="1" applyFont="1" applyBorder="1" applyAlignment="1">
      <alignment vertical="center" wrapText="1"/>
    </xf>
    <xf numFmtId="9" fontId="2" fillId="0" borderId="20" xfId="0" applyNumberFormat="1" applyFont="1" applyBorder="1" applyAlignment="1">
      <alignment horizontal="center"/>
    </xf>
    <xf numFmtId="9" fontId="2" fillId="0" borderId="2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95" fillId="34" borderId="25" xfId="0" applyFont="1" applyFill="1" applyBorder="1" applyAlignment="1">
      <alignment horizontal="center" vertical="center" wrapText="1"/>
    </xf>
    <xf numFmtId="0" fontId="95" fillId="34" borderId="21" xfId="0" applyFont="1" applyFill="1" applyBorder="1" applyAlignment="1">
      <alignment horizontal="center" vertical="center" wrapText="1"/>
    </xf>
    <xf numFmtId="0" fontId="95" fillId="36" borderId="20" xfId="0" applyFont="1" applyFill="1" applyBorder="1" applyAlignment="1">
      <alignment horizontal="center" vertical="center" wrapText="1"/>
    </xf>
    <xf numFmtId="0" fontId="95" fillId="37" borderId="20" xfId="0" applyFont="1" applyFill="1" applyBorder="1" applyAlignment="1">
      <alignment horizontal="center" vertical="center" wrapText="1"/>
    </xf>
    <xf numFmtId="0" fontId="96" fillId="37" borderId="20" xfId="0" applyFont="1" applyFill="1" applyBorder="1" applyAlignment="1">
      <alignment horizontal="center" vertical="center" wrapText="1"/>
    </xf>
    <xf numFmtId="3" fontId="8" fillId="0" borderId="18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2" fillId="19" borderId="27" xfId="0" applyNumberFormat="1" applyFont="1" applyFill="1" applyBorder="1" applyAlignment="1">
      <alignment horizontal="center"/>
    </xf>
    <xf numFmtId="3" fontId="2" fillId="19" borderId="28" xfId="0" applyNumberFormat="1" applyFont="1" applyFill="1" applyBorder="1" applyAlignment="1">
      <alignment horizontal="center"/>
    </xf>
    <xf numFmtId="3" fontId="2" fillId="19" borderId="29" xfId="0" applyNumberFormat="1" applyFont="1" applyFill="1" applyBorder="1" applyAlignment="1">
      <alignment horizontal="center"/>
    </xf>
    <xf numFmtId="3" fontId="106" fillId="35" borderId="20" xfId="0" applyNumberFormat="1" applyFont="1" applyFill="1" applyBorder="1" applyAlignment="1">
      <alignment/>
    </xf>
    <xf numFmtId="3" fontId="106" fillId="37" borderId="20" xfId="0" applyNumberFormat="1" applyFont="1" applyFill="1" applyBorder="1" applyAlignment="1">
      <alignment/>
    </xf>
    <xf numFmtId="3" fontId="106" fillId="36" borderId="20" xfId="0" applyNumberFormat="1" applyFont="1" applyFill="1" applyBorder="1" applyAlignment="1">
      <alignment/>
    </xf>
    <xf numFmtId="3" fontId="106" fillId="19" borderId="17" xfId="0" applyNumberFormat="1" applyFont="1" applyFill="1" applyBorder="1" applyAlignment="1">
      <alignment/>
    </xf>
    <xf numFmtId="0" fontId="96" fillId="19" borderId="11" xfId="0" applyFont="1" applyFill="1" applyBorder="1" applyAlignment="1">
      <alignment horizontal="center" vertical="center" wrapText="1"/>
    </xf>
    <xf numFmtId="3" fontId="106" fillId="34" borderId="20" xfId="0" applyNumberFormat="1" applyFont="1" applyFill="1" applyBorder="1" applyAlignment="1">
      <alignment/>
    </xf>
    <xf numFmtId="0" fontId="95" fillId="34" borderId="20" xfId="0" applyFont="1" applyFill="1" applyBorder="1" applyAlignment="1">
      <alignment horizontal="center"/>
    </xf>
    <xf numFmtId="3" fontId="95" fillId="34" borderId="19" xfId="0" applyNumberFormat="1" applyFont="1" applyFill="1" applyBorder="1" applyAlignment="1">
      <alignment/>
    </xf>
    <xf numFmtId="3" fontId="95" fillId="34" borderId="20" xfId="0" applyNumberFormat="1" applyFont="1" applyFill="1" applyBorder="1" applyAlignment="1">
      <alignment/>
    </xf>
    <xf numFmtId="3" fontId="95" fillId="34" borderId="20" xfId="0" applyNumberFormat="1" applyFont="1" applyFill="1" applyBorder="1" applyAlignment="1">
      <alignment horizontal="right"/>
    </xf>
    <xf numFmtId="0" fontId="107" fillId="0" borderId="0" xfId="0" applyFont="1" applyBorder="1" applyAlignment="1">
      <alignment/>
    </xf>
    <xf numFmtId="3" fontId="2" fillId="19" borderId="30" xfId="0" applyNumberFormat="1" applyFont="1" applyFill="1" applyBorder="1" applyAlignment="1">
      <alignment horizontal="center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34" fillId="35" borderId="2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/>
    </xf>
    <xf numFmtId="16" fontId="8" fillId="38" borderId="12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/>
    </xf>
    <xf numFmtId="3" fontId="8" fillId="38" borderId="19" xfId="0" applyNumberFormat="1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16" fontId="8" fillId="38" borderId="10" xfId="0" applyNumberFormat="1" applyFont="1" applyFill="1" applyBorder="1" applyAlignment="1" quotePrefix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2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 horizontal="center"/>
    </xf>
    <xf numFmtId="3" fontId="2" fillId="38" borderId="29" xfId="0" applyNumberFormat="1" applyFont="1" applyFill="1" applyBorder="1" applyAlignment="1">
      <alignment horizontal="center"/>
    </xf>
    <xf numFmtId="3" fontId="2" fillId="38" borderId="30" xfId="0" applyNumberFormat="1" applyFont="1" applyFill="1" applyBorder="1" applyAlignment="1">
      <alignment horizontal="center"/>
    </xf>
    <xf numFmtId="3" fontId="2" fillId="38" borderId="28" xfId="0" applyNumberFormat="1" applyFont="1" applyFill="1" applyBorder="1" applyAlignment="1">
      <alignment horizontal="center"/>
    </xf>
    <xf numFmtId="0" fontId="8" fillId="38" borderId="19" xfId="0" applyFont="1" applyFill="1" applyBorder="1" applyAlignment="1">
      <alignment/>
    </xf>
    <xf numFmtId="0" fontId="2" fillId="19" borderId="21" xfId="0" applyFont="1" applyFill="1" applyBorder="1" applyAlignment="1">
      <alignment horizontal="center" vertical="center"/>
    </xf>
    <xf numFmtId="9" fontId="100" fillId="0" borderId="2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107" fillId="0" borderId="0" xfId="0" applyFont="1" applyBorder="1" applyAlignment="1">
      <alignment horizontal="left" vertical="top" wrapText="1"/>
    </xf>
    <xf numFmtId="0" fontId="2" fillId="19" borderId="11" xfId="0" applyFont="1" applyFill="1" applyBorder="1" applyAlignment="1">
      <alignment horizontal="center" vertical="center"/>
    </xf>
    <xf numFmtId="0" fontId="107" fillId="0" borderId="0" xfId="0" applyFont="1" applyBorder="1" applyAlignment="1">
      <alignment horizontal="left" wrapText="1"/>
    </xf>
    <xf numFmtId="0" fontId="36" fillId="0" borderId="19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3" fontId="2" fillId="19" borderId="17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16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zoomScale="110" zoomScaleNormal="11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" sqref="P1:P16384"/>
    </sheetView>
  </sheetViews>
  <sheetFormatPr defaultColWidth="11.421875" defaultRowHeight="15"/>
  <cols>
    <col min="1" max="1" width="2.421875" style="0" customWidth="1"/>
    <col min="2" max="2" width="17.8515625" style="0" customWidth="1"/>
    <col min="3" max="8" width="9.140625" style="0" customWidth="1"/>
    <col min="9" max="9" width="10.00390625" style="0" customWidth="1"/>
    <col min="10" max="11" width="13.7109375" style="0" customWidth="1"/>
    <col min="12" max="12" width="10.421875" style="0" customWidth="1"/>
    <col min="13" max="13" width="12.7109375" style="0" customWidth="1"/>
    <col min="14" max="14" width="12.28125" style="0" customWidth="1"/>
    <col min="15" max="15" width="9.57421875" style="175" customWidth="1"/>
    <col min="16" max="16" width="12.8515625" style="0" bestFit="1" customWidth="1"/>
  </cols>
  <sheetData>
    <row r="1" spans="2:15" ht="18.75" customHeight="1">
      <c r="B1" s="240" t="s">
        <v>68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2:9" ht="19.5" thickBot="1">
      <c r="B2" s="21"/>
      <c r="C2" s="21"/>
      <c r="D2" s="21"/>
      <c r="E2" s="21"/>
      <c r="F2" s="21"/>
      <c r="G2" s="21"/>
      <c r="H2" s="21"/>
      <c r="I2" s="21"/>
    </row>
    <row r="3" spans="2:15" s="169" customFormat="1" ht="84" customHeight="1" thickBot="1">
      <c r="B3" s="167" t="s">
        <v>36</v>
      </c>
      <c r="C3" s="193" t="s">
        <v>46</v>
      </c>
      <c r="D3" s="194" t="s">
        <v>47</v>
      </c>
      <c r="E3" s="171" t="s">
        <v>48</v>
      </c>
      <c r="F3" s="171" t="s">
        <v>49</v>
      </c>
      <c r="G3" s="171" t="s">
        <v>50</v>
      </c>
      <c r="H3" s="196" t="s">
        <v>51</v>
      </c>
      <c r="I3" s="197" t="s">
        <v>53</v>
      </c>
      <c r="J3" s="168" t="s">
        <v>56</v>
      </c>
      <c r="K3" s="220" t="s">
        <v>69</v>
      </c>
      <c r="L3" s="195" t="s">
        <v>52</v>
      </c>
      <c r="M3" s="207" t="s">
        <v>55</v>
      </c>
      <c r="N3" s="171" t="s">
        <v>54</v>
      </c>
      <c r="O3" s="171" t="s">
        <v>70</v>
      </c>
    </row>
    <row r="4" spans="2:16" ht="16.5" customHeight="1">
      <c r="B4" s="129" t="s">
        <v>37</v>
      </c>
      <c r="C4" s="130">
        <v>121925</v>
      </c>
      <c r="D4" s="131">
        <v>124472</v>
      </c>
      <c r="E4" s="130">
        <v>126135</v>
      </c>
      <c r="F4" s="132">
        <v>129207</v>
      </c>
      <c r="G4" s="133">
        <v>136506</v>
      </c>
      <c r="H4" s="132">
        <v>140509</v>
      </c>
      <c r="I4" s="132">
        <v>140180</v>
      </c>
      <c r="J4" s="134">
        <v>142189</v>
      </c>
      <c r="K4" s="135">
        <v>142196</v>
      </c>
      <c r="L4" s="143">
        <v>143411</v>
      </c>
      <c r="M4" s="134">
        <v>142127</v>
      </c>
      <c r="N4" s="143">
        <f>+OSORNO!E25</f>
        <v>142952</v>
      </c>
      <c r="O4" s="143">
        <f>+N4-M4</f>
        <v>825</v>
      </c>
      <c r="P4" s="272"/>
    </row>
    <row r="5" spans="2:16" ht="16.5" customHeight="1">
      <c r="B5" s="136" t="s">
        <v>38</v>
      </c>
      <c r="C5" s="132">
        <v>5467</v>
      </c>
      <c r="D5" s="137">
        <v>5819</v>
      </c>
      <c r="E5" s="132">
        <v>5444</v>
      </c>
      <c r="F5" s="132">
        <v>5033</v>
      </c>
      <c r="G5" s="133">
        <v>5124</v>
      </c>
      <c r="H5" s="132">
        <v>5028</v>
      </c>
      <c r="I5" s="132">
        <v>5018</v>
      </c>
      <c r="J5" s="135">
        <v>4830</v>
      </c>
      <c r="K5" s="135">
        <v>4830</v>
      </c>
      <c r="L5" s="144">
        <v>4822</v>
      </c>
      <c r="M5" s="135">
        <v>4898</v>
      </c>
      <c r="N5" s="144">
        <f>+'PUERTO OCTAY'!E25</f>
        <v>4333</v>
      </c>
      <c r="O5" s="180">
        <f aca="true" t="shared" si="0" ref="O5:O11">+N5-M5</f>
        <v>-565</v>
      </c>
      <c r="P5" s="272"/>
    </row>
    <row r="6" spans="2:16" ht="16.5" customHeight="1">
      <c r="B6" s="136" t="s">
        <v>39</v>
      </c>
      <c r="C6" s="132">
        <v>20767</v>
      </c>
      <c r="D6" s="137">
        <v>21013</v>
      </c>
      <c r="E6" s="132">
        <v>21415</v>
      </c>
      <c r="F6" s="133">
        <v>21619</v>
      </c>
      <c r="G6" s="133">
        <v>21014</v>
      </c>
      <c r="H6" s="132">
        <v>20759</v>
      </c>
      <c r="I6" s="132">
        <v>20618</v>
      </c>
      <c r="J6" s="135">
        <v>20763</v>
      </c>
      <c r="K6" s="135">
        <v>20763</v>
      </c>
      <c r="L6" s="144">
        <v>21396</v>
      </c>
      <c r="M6" s="135">
        <v>21350</v>
      </c>
      <c r="N6" s="144">
        <f>+PURRANQUE!E25</f>
        <v>21310</v>
      </c>
      <c r="O6" s="180">
        <f t="shared" si="0"/>
        <v>-40</v>
      </c>
      <c r="P6" s="272"/>
    </row>
    <row r="7" spans="2:16" ht="16.5" customHeight="1">
      <c r="B7" s="136" t="s">
        <v>40</v>
      </c>
      <c r="C7" s="132">
        <v>11053</v>
      </c>
      <c r="D7" s="137">
        <v>11028</v>
      </c>
      <c r="E7" s="132">
        <v>10583</v>
      </c>
      <c r="F7" s="133">
        <v>10935</v>
      </c>
      <c r="G7" s="133">
        <v>10740</v>
      </c>
      <c r="H7" s="132">
        <v>10960</v>
      </c>
      <c r="I7" s="132">
        <v>10900</v>
      </c>
      <c r="J7" s="135">
        <v>10981</v>
      </c>
      <c r="K7" s="135">
        <v>10981</v>
      </c>
      <c r="L7" s="144">
        <v>11503</v>
      </c>
      <c r="M7" s="135">
        <v>11655</v>
      </c>
      <c r="N7" s="144">
        <f>+PUYEHUE!E25</f>
        <v>12092</v>
      </c>
      <c r="O7" s="144">
        <f t="shared" si="0"/>
        <v>437</v>
      </c>
      <c r="P7" s="272"/>
    </row>
    <row r="8" spans="2:16" ht="16.5" customHeight="1">
      <c r="B8" s="136" t="s">
        <v>41</v>
      </c>
      <c r="C8" s="132">
        <v>5586</v>
      </c>
      <c r="D8" s="137">
        <v>5114</v>
      </c>
      <c r="E8" s="132">
        <v>5161</v>
      </c>
      <c r="F8" s="133">
        <v>11789</v>
      </c>
      <c r="G8" s="133">
        <v>9943</v>
      </c>
      <c r="H8" s="132">
        <v>11889</v>
      </c>
      <c r="I8" s="132">
        <v>11869</v>
      </c>
      <c r="J8" s="135">
        <v>11951</v>
      </c>
      <c r="K8" s="135">
        <v>11951</v>
      </c>
      <c r="L8" s="144">
        <v>12595</v>
      </c>
      <c r="M8" s="135">
        <v>12852</v>
      </c>
      <c r="N8" s="144">
        <f>+'RÍO NEGRO'!E25</f>
        <v>13082</v>
      </c>
      <c r="O8" s="144">
        <f t="shared" si="0"/>
        <v>230</v>
      </c>
      <c r="P8" s="272"/>
    </row>
    <row r="9" spans="2:16" ht="16.5" customHeight="1">
      <c r="B9" s="136" t="s">
        <v>42</v>
      </c>
      <c r="C9" s="132">
        <v>9795</v>
      </c>
      <c r="D9" s="137">
        <v>8559</v>
      </c>
      <c r="E9" s="132">
        <v>9940</v>
      </c>
      <c r="F9" s="133">
        <v>9918</v>
      </c>
      <c r="G9" s="133">
        <v>9843</v>
      </c>
      <c r="H9" s="132">
        <v>8552</v>
      </c>
      <c r="I9" s="132">
        <v>8537</v>
      </c>
      <c r="J9" s="135">
        <v>8097</v>
      </c>
      <c r="K9" s="135">
        <v>8113</v>
      </c>
      <c r="L9" s="144">
        <v>7949</v>
      </c>
      <c r="M9" s="135">
        <v>8476</v>
      </c>
      <c r="N9" s="132">
        <v>8507</v>
      </c>
      <c r="O9" s="144">
        <f t="shared" si="0"/>
        <v>31</v>
      </c>
      <c r="P9" s="272"/>
    </row>
    <row r="10" spans="2:16" ht="16.5" customHeight="1" thickBot="1">
      <c r="B10" s="138" t="s">
        <v>43</v>
      </c>
      <c r="C10" s="139">
        <v>8135</v>
      </c>
      <c r="D10" s="140">
        <v>8549</v>
      </c>
      <c r="E10" s="141">
        <v>8980</v>
      </c>
      <c r="F10" s="133">
        <v>8805</v>
      </c>
      <c r="G10" s="133">
        <v>9196</v>
      </c>
      <c r="H10" s="132">
        <v>8475</v>
      </c>
      <c r="I10" s="132">
        <v>8439</v>
      </c>
      <c r="J10" s="139">
        <v>10068</v>
      </c>
      <c r="K10" s="135">
        <v>10078</v>
      </c>
      <c r="L10" s="144">
        <v>10304</v>
      </c>
      <c r="M10" s="139">
        <v>9562</v>
      </c>
      <c r="N10" s="132">
        <v>10588</v>
      </c>
      <c r="O10" s="144">
        <f t="shared" si="0"/>
        <v>1026</v>
      </c>
      <c r="P10" s="272"/>
    </row>
    <row r="11" spans="2:15" ht="16.5" customHeight="1" thickBot="1">
      <c r="B11" s="209" t="s">
        <v>14</v>
      </c>
      <c r="C11" s="210">
        <v>182728</v>
      </c>
      <c r="D11" s="211">
        <v>184554</v>
      </c>
      <c r="E11" s="211">
        <v>187658</v>
      </c>
      <c r="F11" s="212">
        <f aca="true" t="shared" si="1" ref="F11:K11">SUM(F4:F10)</f>
        <v>197306</v>
      </c>
      <c r="G11" s="212">
        <f t="shared" si="1"/>
        <v>202366</v>
      </c>
      <c r="H11" s="204">
        <f t="shared" si="1"/>
        <v>206172</v>
      </c>
      <c r="I11" s="204">
        <f t="shared" si="1"/>
        <v>205561</v>
      </c>
      <c r="J11" s="203">
        <f t="shared" si="1"/>
        <v>208879</v>
      </c>
      <c r="K11" s="203">
        <f t="shared" si="1"/>
        <v>208912</v>
      </c>
      <c r="L11" s="205">
        <f>SUM(L4:L10)</f>
        <v>211980</v>
      </c>
      <c r="M11" s="206">
        <f>SUM(M4:M10)</f>
        <v>210920</v>
      </c>
      <c r="N11" s="208">
        <f>SUM(N4:N10)</f>
        <v>212864</v>
      </c>
      <c r="O11" s="208">
        <f t="shared" si="0"/>
        <v>1944</v>
      </c>
    </row>
    <row r="12" spans="2:15" ht="15">
      <c r="B12" s="7"/>
      <c r="C12" s="7"/>
      <c r="D12" s="21"/>
      <c r="E12" s="21"/>
      <c r="F12" s="21"/>
      <c r="G12" s="21"/>
      <c r="H12" s="21"/>
      <c r="I12" s="21"/>
      <c r="O12"/>
    </row>
    <row r="13" spans="2:14" ht="18.75">
      <c r="B13" s="21"/>
      <c r="C13" s="21"/>
      <c r="D13" s="21"/>
      <c r="E13" s="21"/>
      <c r="F13" s="21"/>
      <c r="G13" s="21"/>
      <c r="H13" s="21"/>
      <c r="N13" s="39"/>
    </row>
    <row r="14" ht="18.75">
      <c r="F14" s="73"/>
    </row>
    <row r="15" spans="6:11" ht="18.75">
      <c r="F15" s="73"/>
      <c r="I15" s="1"/>
      <c r="J15" s="1"/>
      <c r="K15" s="142"/>
    </row>
    <row r="16" spans="6:11" ht="18.75">
      <c r="F16" s="73"/>
      <c r="H16" s="13"/>
      <c r="I16" s="38"/>
      <c r="J16" s="73"/>
      <c r="K16" s="73"/>
    </row>
    <row r="17" spans="6:11" ht="18.75">
      <c r="F17" s="73"/>
      <c r="H17" s="13"/>
      <c r="I17" s="38"/>
      <c r="J17" s="73"/>
      <c r="K17" s="73"/>
    </row>
    <row r="18" spans="6:11" ht="18.75">
      <c r="F18" s="73"/>
      <c r="H18" s="13"/>
      <c r="I18" s="38"/>
      <c r="J18" s="73"/>
      <c r="K18" s="73"/>
    </row>
    <row r="19" spans="6:11" ht="18.75">
      <c r="F19" s="62"/>
      <c r="H19" s="13"/>
      <c r="I19" s="38"/>
      <c r="J19" s="73"/>
      <c r="K19" s="73"/>
    </row>
    <row r="20" spans="8:11" ht="18.75">
      <c r="H20" s="13"/>
      <c r="I20" s="38"/>
      <c r="J20" s="73"/>
      <c r="K20" s="73"/>
    </row>
    <row r="21" spans="8:11" ht="18.75">
      <c r="H21" s="13"/>
      <c r="I21" s="38"/>
      <c r="J21" s="73"/>
      <c r="K21" s="73"/>
    </row>
    <row r="22" spans="8:11" ht="18.75">
      <c r="H22" s="13"/>
      <c r="I22" s="38"/>
      <c r="J22" s="73"/>
      <c r="K22" s="73"/>
    </row>
    <row r="23" spans="9:11" ht="18.75">
      <c r="I23" s="64"/>
      <c r="J23" s="62"/>
      <c r="K23" s="62"/>
    </row>
  </sheetData>
  <sheetProtection/>
  <mergeCells count="1">
    <mergeCell ref="B1:O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25" sqref="M25"/>
    </sheetView>
  </sheetViews>
  <sheetFormatPr defaultColWidth="11.421875" defaultRowHeight="15"/>
  <cols>
    <col min="1" max="1" width="3.00390625" style="1" customWidth="1"/>
    <col min="2" max="2" width="18.140625" style="1" customWidth="1"/>
    <col min="3" max="3" width="13.57421875" style="1" customWidth="1"/>
    <col min="4" max="5" width="13.00390625" style="1" customWidth="1"/>
    <col min="6" max="6" width="11.140625" style="89" customWidth="1"/>
    <col min="7" max="7" width="18.57421875" style="1" bestFit="1" customWidth="1"/>
    <col min="8" max="8" width="12.7109375" style="1" customWidth="1"/>
    <col min="9" max="9" width="13.140625" style="1" customWidth="1"/>
    <col min="10" max="10" width="14.00390625" style="1" customWidth="1"/>
    <col min="11" max="11" width="12.8515625" style="1" customWidth="1"/>
    <col min="12" max="16384" width="11.421875" style="1" customWidth="1"/>
  </cols>
  <sheetData>
    <row r="1" spans="2:11" ht="15.75" thickBot="1">
      <c r="B1" s="248" t="s">
        <v>79</v>
      </c>
      <c r="C1" s="249"/>
      <c r="D1" s="249"/>
      <c r="E1" s="249"/>
      <c r="F1" s="249"/>
      <c r="G1" s="249"/>
      <c r="H1" s="249"/>
      <c r="I1" s="249"/>
      <c r="J1" s="250"/>
      <c r="K1" s="2"/>
    </row>
    <row r="3" spans="2:10" ht="12.75" customHeight="1">
      <c r="B3" s="181" t="s">
        <v>67</v>
      </c>
      <c r="C3" s="184" t="s">
        <v>0</v>
      </c>
      <c r="D3" s="170"/>
      <c r="G3" s="252" t="s">
        <v>75</v>
      </c>
      <c r="H3" s="252"/>
      <c r="I3" s="252"/>
      <c r="J3" s="252"/>
    </row>
    <row r="4" spans="2:10" ht="12.75" customHeight="1">
      <c r="B4" s="181" t="s">
        <v>44</v>
      </c>
      <c r="C4" s="185">
        <v>10301</v>
      </c>
      <c r="G4" s="252"/>
      <c r="H4" s="252"/>
      <c r="I4" s="252"/>
      <c r="J4" s="252"/>
    </row>
    <row r="5" ht="13.5" customHeight="1" thickBot="1"/>
    <row r="6" spans="2:10" ht="28.5" customHeight="1" thickBot="1">
      <c r="B6" s="241" t="s">
        <v>45</v>
      </c>
      <c r="C6" s="243" t="s">
        <v>87</v>
      </c>
      <c r="D6" s="244"/>
      <c r="E6" s="245"/>
      <c r="G6" s="241" t="s">
        <v>45</v>
      </c>
      <c r="H6" s="243" t="s">
        <v>87</v>
      </c>
      <c r="I6" s="244"/>
      <c r="J6" s="245"/>
    </row>
    <row r="7" spans="2:10" ht="13.5" thickBot="1">
      <c r="B7" s="242"/>
      <c r="C7" s="146" t="s">
        <v>2</v>
      </c>
      <c r="D7" s="147" t="s">
        <v>3</v>
      </c>
      <c r="E7" s="148" t="s">
        <v>4</v>
      </c>
      <c r="F7" s="90"/>
      <c r="G7" s="251"/>
      <c r="H7" s="146" t="s">
        <v>2</v>
      </c>
      <c r="I7" s="147" t="s">
        <v>3</v>
      </c>
      <c r="J7" s="148" t="s">
        <v>4</v>
      </c>
    </row>
    <row r="8" spans="2:11" ht="15">
      <c r="B8" s="149" t="s">
        <v>5</v>
      </c>
      <c r="C8" s="3">
        <f>SUM(C29,C50,C71,C92,C113,C134,C155,C176)</f>
        <v>4951</v>
      </c>
      <c r="D8" s="20">
        <f>SUM(D29,D50,D71,D92,D113,D134,D155,D176)</f>
        <v>5087</v>
      </c>
      <c r="E8" s="18">
        <f>SUM(C8:D8)</f>
        <v>10038</v>
      </c>
      <c r="F8" s="90"/>
      <c r="G8" s="154" t="s">
        <v>6</v>
      </c>
      <c r="H8" s="4">
        <f>SUM(C8:C9)</f>
        <v>10228</v>
      </c>
      <c r="I8" s="18">
        <f>SUM(D8:D9)</f>
        <v>10129</v>
      </c>
      <c r="J8" s="18">
        <f>SUM(H8:I8)</f>
        <v>20357</v>
      </c>
      <c r="K8" s="178"/>
    </row>
    <row r="9" spans="2:11" ht="15">
      <c r="B9" s="150" t="s">
        <v>7</v>
      </c>
      <c r="C9" s="3">
        <f aca="true" t="shared" si="0" ref="C9:D24">SUM(C30,C51,C72,C93,C114,C135,C156,C177)</f>
        <v>5277</v>
      </c>
      <c r="D9" s="20">
        <f t="shared" si="0"/>
        <v>5042</v>
      </c>
      <c r="E9" s="3">
        <f aca="true" t="shared" si="1" ref="E9:E24">SUM(C9:D9)</f>
        <v>10319</v>
      </c>
      <c r="F9" s="90"/>
      <c r="G9" s="155" t="s">
        <v>8</v>
      </c>
      <c r="H9" s="4">
        <f>SUM(C10:C11)</f>
        <v>10640</v>
      </c>
      <c r="I9" s="3">
        <f>SUM(D10:D11)</f>
        <v>10632</v>
      </c>
      <c r="J9" s="3">
        <f>SUM(H9:I9)</f>
        <v>21272</v>
      </c>
      <c r="K9" s="179"/>
    </row>
    <row r="10" spans="2:10" ht="15">
      <c r="B10" s="149" t="s">
        <v>60</v>
      </c>
      <c r="C10" s="3">
        <f t="shared" si="0"/>
        <v>5004</v>
      </c>
      <c r="D10" s="20">
        <f t="shared" si="0"/>
        <v>4967</v>
      </c>
      <c r="E10" s="3">
        <f t="shared" si="1"/>
        <v>9971</v>
      </c>
      <c r="F10" s="90"/>
      <c r="G10" s="155" t="s">
        <v>10</v>
      </c>
      <c r="H10" s="4">
        <f>SUM(C12:C20)</f>
        <v>38438</v>
      </c>
      <c r="I10" s="3">
        <f>SUM(D12:D20)</f>
        <v>45656</v>
      </c>
      <c r="J10" s="3">
        <f>SUM(H10:I10)</f>
        <v>84094</v>
      </c>
    </row>
    <row r="11" spans="2:10" ht="15.75" thickBot="1">
      <c r="B11" s="149" t="s">
        <v>11</v>
      </c>
      <c r="C11" s="3">
        <f t="shared" si="0"/>
        <v>5636</v>
      </c>
      <c r="D11" s="20">
        <f t="shared" si="0"/>
        <v>5665</v>
      </c>
      <c r="E11" s="3">
        <f t="shared" si="1"/>
        <v>11301</v>
      </c>
      <c r="F11" s="90"/>
      <c r="G11" s="155" t="s">
        <v>12</v>
      </c>
      <c r="H11" s="4">
        <f>SUM(C21:C24)</f>
        <v>7032</v>
      </c>
      <c r="I11" s="3">
        <f>SUM(D21:D24)</f>
        <v>10197</v>
      </c>
      <c r="J11" s="3">
        <f>SUM(H11:I11)</f>
        <v>17229</v>
      </c>
    </row>
    <row r="12" spans="2:10" ht="15.75" thickBot="1">
      <c r="B12" s="149" t="s">
        <v>13</v>
      </c>
      <c r="C12" s="3">
        <f t="shared" si="0"/>
        <v>5783</v>
      </c>
      <c r="D12" s="20">
        <f t="shared" si="0"/>
        <v>6434</v>
      </c>
      <c r="E12" s="3">
        <f t="shared" si="1"/>
        <v>12217</v>
      </c>
      <c r="F12" s="90"/>
      <c r="G12" s="156" t="s">
        <v>14</v>
      </c>
      <c r="H12" s="157">
        <f>SUM(H8:H11)</f>
        <v>66338</v>
      </c>
      <c r="I12" s="152">
        <f>SUM(I8:I11)</f>
        <v>76614</v>
      </c>
      <c r="J12" s="152">
        <f>SUM(H12:I12)</f>
        <v>142952</v>
      </c>
    </row>
    <row r="13" spans="2:11" ht="15.75" thickBot="1">
      <c r="B13" s="149" t="s">
        <v>15</v>
      </c>
      <c r="C13" s="3">
        <f t="shared" si="0"/>
        <v>4875</v>
      </c>
      <c r="D13" s="20">
        <f t="shared" si="0"/>
        <v>5669</v>
      </c>
      <c r="E13" s="3">
        <f t="shared" si="1"/>
        <v>10544</v>
      </c>
      <c r="F13" s="90"/>
      <c r="K13" s="84"/>
    </row>
    <row r="14" spans="2:11" ht="15">
      <c r="B14" s="149" t="s">
        <v>16</v>
      </c>
      <c r="C14" s="3">
        <f t="shared" si="0"/>
        <v>4313</v>
      </c>
      <c r="D14" s="20">
        <f t="shared" si="0"/>
        <v>5255</v>
      </c>
      <c r="E14" s="3">
        <f t="shared" si="1"/>
        <v>9568</v>
      </c>
      <c r="F14" s="90"/>
      <c r="G14" s="200" t="s">
        <v>61</v>
      </c>
      <c r="H14" s="158">
        <f>SUM(C12:C16)</f>
        <v>23340</v>
      </c>
      <c r="I14" s="213"/>
      <c r="J14" s="5"/>
      <c r="K14" s="7"/>
    </row>
    <row r="15" spans="2:11" ht="15">
      <c r="B15" s="149" t="s">
        <v>17</v>
      </c>
      <c r="C15" s="3">
        <f t="shared" si="0"/>
        <v>4028</v>
      </c>
      <c r="D15" s="20">
        <f t="shared" si="0"/>
        <v>5224</v>
      </c>
      <c r="E15" s="3">
        <f t="shared" si="1"/>
        <v>9252</v>
      </c>
      <c r="F15" s="90"/>
      <c r="G15" s="202" t="s">
        <v>62</v>
      </c>
      <c r="H15" s="199">
        <f>SUM(D17:D20)</f>
        <v>17666</v>
      </c>
      <c r="I15" s="213"/>
      <c r="J15" s="5"/>
      <c r="K15" s="7"/>
    </row>
    <row r="16" spans="2:13" ht="15">
      <c r="B16" s="149" t="s">
        <v>18</v>
      </c>
      <c r="C16" s="3">
        <f t="shared" si="0"/>
        <v>4341</v>
      </c>
      <c r="D16" s="20">
        <f t="shared" si="0"/>
        <v>5408</v>
      </c>
      <c r="E16" s="3">
        <f t="shared" si="1"/>
        <v>9749</v>
      </c>
      <c r="F16" s="90"/>
      <c r="G16" s="214" t="s">
        <v>65</v>
      </c>
      <c r="H16" s="215">
        <f>SUM(E8:E11)</f>
        <v>41629</v>
      </c>
      <c r="I16" s="213"/>
      <c r="J16" s="5"/>
      <c r="K16" s="7"/>
      <c r="M16" s="7"/>
    </row>
    <row r="17" spans="2:13" ht="15">
      <c r="B17" s="149" t="s">
        <v>19</v>
      </c>
      <c r="C17" s="3">
        <f t="shared" si="0"/>
        <v>4538</v>
      </c>
      <c r="D17" s="20">
        <f t="shared" si="0"/>
        <v>5325</v>
      </c>
      <c r="E17" s="3">
        <f t="shared" si="1"/>
        <v>9863</v>
      </c>
      <c r="F17" s="90"/>
      <c r="G17" s="202" t="s">
        <v>59</v>
      </c>
      <c r="H17" s="199">
        <f>SUM(E21:E24)</f>
        <v>17229</v>
      </c>
      <c r="I17" s="213"/>
      <c r="M17" s="7"/>
    </row>
    <row r="18" spans="2:13" ht="15">
      <c r="B18" s="149" t="s">
        <v>20</v>
      </c>
      <c r="C18" s="3">
        <f t="shared" si="0"/>
        <v>4329</v>
      </c>
      <c r="D18" s="20">
        <f t="shared" si="0"/>
        <v>4857</v>
      </c>
      <c r="E18" s="3">
        <f t="shared" si="1"/>
        <v>9186</v>
      </c>
      <c r="F18" s="90"/>
      <c r="G18" s="214" t="s">
        <v>57</v>
      </c>
      <c r="H18" s="215">
        <f>+H39+H60+H81+H102+H123+H144+H165+H186</f>
        <v>2122</v>
      </c>
      <c r="I18" s="213"/>
      <c r="M18" s="7"/>
    </row>
    <row r="19" spans="2:11" ht="15">
      <c r="B19" s="149" t="s">
        <v>21</v>
      </c>
      <c r="C19" s="3">
        <f t="shared" si="0"/>
        <v>3525</v>
      </c>
      <c r="D19" s="20">
        <f t="shared" si="0"/>
        <v>4128</v>
      </c>
      <c r="E19" s="3">
        <f t="shared" si="1"/>
        <v>7653</v>
      </c>
      <c r="F19" s="90"/>
      <c r="G19" s="202" t="s">
        <v>58</v>
      </c>
      <c r="H19" s="215">
        <f>+H40+H61+H82+H103+H124+H145+H166+H187</f>
        <v>2042</v>
      </c>
      <c r="I19" s="213"/>
      <c r="J19" s="5"/>
      <c r="K19" s="7"/>
    </row>
    <row r="20" spans="2:11" ht="15" customHeight="1" thickBot="1">
      <c r="B20" s="149" t="s">
        <v>22</v>
      </c>
      <c r="C20" s="3">
        <f t="shared" si="0"/>
        <v>2706</v>
      </c>
      <c r="D20" s="20">
        <f t="shared" si="0"/>
        <v>3356</v>
      </c>
      <c r="E20" s="3">
        <f t="shared" si="1"/>
        <v>6062</v>
      </c>
      <c r="F20" s="90"/>
      <c r="G20" s="201" t="s">
        <v>64</v>
      </c>
      <c r="H20" s="198">
        <f>+H41+H62+H83+H104+H125+H146+H167+H188</f>
        <v>1212</v>
      </c>
      <c r="I20" s="213"/>
      <c r="J20" s="186"/>
      <c r="K20" s="7"/>
    </row>
    <row r="21" spans="2:10" ht="15">
      <c r="B21" s="149" t="s">
        <v>23</v>
      </c>
      <c r="C21" s="3">
        <f t="shared" si="0"/>
        <v>2261</v>
      </c>
      <c r="D21" s="20">
        <f t="shared" si="0"/>
        <v>2981</v>
      </c>
      <c r="E21" s="3">
        <f t="shared" si="1"/>
        <v>5242</v>
      </c>
      <c r="F21" s="90"/>
      <c r="G21" s="200" t="s">
        <v>104</v>
      </c>
      <c r="H21" s="158">
        <f>+H42+H63+H84+H105+H126+H147+H168+H189</f>
        <v>2124</v>
      </c>
      <c r="J21" s="162"/>
    </row>
    <row r="22" spans="2:10" ht="15.75" thickBot="1">
      <c r="B22" s="149" t="s">
        <v>24</v>
      </c>
      <c r="C22" s="3">
        <f t="shared" si="0"/>
        <v>1877</v>
      </c>
      <c r="D22" s="20">
        <f t="shared" si="0"/>
        <v>2501</v>
      </c>
      <c r="E22" s="3">
        <f t="shared" si="1"/>
        <v>4378</v>
      </c>
      <c r="F22" s="90"/>
      <c r="G22" s="268" t="s">
        <v>105</v>
      </c>
      <c r="H22" s="198">
        <f>+H43+H64+H85+H106+H127+H148+H169+H190</f>
        <v>2057</v>
      </c>
      <c r="J22" s="162"/>
    </row>
    <row r="23" spans="2:11" ht="15">
      <c r="B23" s="149" t="s">
        <v>25</v>
      </c>
      <c r="C23" s="3">
        <f t="shared" si="0"/>
        <v>1352</v>
      </c>
      <c r="D23" s="20">
        <f t="shared" si="0"/>
        <v>1930</v>
      </c>
      <c r="E23" s="3">
        <f t="shared" si="1"/>
        <v>3282</v>
      </c>
      <c r="F23" s="162"/>
      <c r="J23" s="162"/>
      <c r="K23" s="162"/>
    </row>
    <row r="24" spans="2:10" ht="15.75" thickBot="1">
      <c r="B24" s="149" t="s">
        <v>26</v>
      </c>
      <c r="C24" s="3">
        <f t="shared" si="0"/>
        <v>1542</v>
      </c>
      <c r="D24" s="20">
        <f t="shared" si="0"/>
        <v>2785</v>
      </c>
      <c r="E24" s="3">
        <f t="shared" si="1"/>
        <v>4327</v>
      </c>
      <c r="F24" s="162"/>
      <c r="G24" s="162"/>
      <c r="H24" s="162"/>
      <c r="I24" s="162"/>
      <c r="J24" s="162"/>
    </row>
    <row r="25" spans="2:10" ht="15.75" thickBot="1">
      <c r="B25" s="151" t="s">
        <v>14</v>
      </c>
      <c r="C25" s="152">
        <f>SUM(C8:C24)</f>
        <v>66338</v>
      </c>
      <c r="D25" s="153">
        <f>SUM(D8:D24)</f>
        <v>76614</v>
      </c>
      <c r="E25" s="152">
        <f>SUM(E8:E24)</f>
        <v>142952</v>
      </c>
      <c r="F25" s="95"/>
      <c r="G25" s="95"/>
      <c r="H25" s="95"/>
      <c r="I25" s="95"/>
      <c r="J25" s="95"/>
    </row>
    <row r="26" spans="5:7" ht="12.75" customHeight="1" thickBot="1">
      <c r="E26" s="87"/>
      <c r="F26" s="90"/>
      <c r="G26" s="7"/>
    </row>
    <row r="27" spans="2:10" ht="28.5" customHeight="1" thickBot="1">
      <c r="B27" s="241" t="s">
        <v>45</v>
      </c>
      <c r="C27" s="243" t="s">
        <v>88</v>
      </c>
      <c r="D27" s="244"/>
      <c r="E27" s="245"/>
      <c r="F27" s="90"/>
      <c r="G27" s="241" t="s">
        <v>45</v>
      </c>
      <c r="H27" s="243" t="s">
        <v>88</v>
      </c>
      <c r="I27" s="244"/>
      <c r="J27" s="245"/>
    </row>
    <row r="28" spans="2:10" ht="13.5" thickBot="1">
      <c r="B28" s="242"/>
      <c r="C28" s="146" t="s">
        <v>2</v>
      </c>
      <c r="D28" s="147" t="s">
        <v>3</v>
      </c>
      <c r="E28" s="148" t="s">
        <v>4</v>
      </c>
      <c r="F28" s="90"/>
      <c r="G28" s="242"/>
      <c r="H28" s="146" t="s">
        <v>2</v>
      </c>
      <c r="I28" s="147" t="s">
        <v>3</v>
      </c>
      <c r="J28" s="148" t="s">
        <v>4</v>
      </c>
    </row>
    <row r="29" spans="2:11" ht="15">
      <c r="B29" s="149" t="s">
        <v>5</v>
      </c>
      <c r="C29" s="3">
        <f>944+0</f>
        <v>944</v>
      </c>
      <c r="D29" s="20">
        <f>894+0</f>
        <v>894</v>
      </c>
      <c r="E29" s="18">
        <f>SUM(C29:D29)</f>
        <v>1838</v>
      </c>
      <c r="F29" s="90"/>
      <c r="G29" s="154" t="s">
        <v>6</v>
      </c>
      <c r="H29" s="4">
        <f>SUM(C29:C30)</f>
        <v>1938</v>
      </c>
      <c r="I29" s="18">
        <f>SUM(D29:D30)</f>
        <v>1913</v>
      </c>
      <c r="J29" s="18">
        <f>SUM(H29:I29)</f>
        <v>3851</v>
      </c>
      <c r="K29" s="84"/>
    </row>
    <row r="30" spans="2:10" ht="15">
      <c r="B30" s="150" t="s">
        <v>7</v>
      </c>
      <c r="C30" s="3">
        <v>994</v>
      </c>
      <c r="D30" s="20">
        <v>1019</v>
      </c>
      <c r="E30" s="3">
        <f aca="true" t="shared" si="2" ref="E30:E45">SUM(C30:D30)</f>
        <v>2013</v>
      </c>
      <c r="F30" s="90"/>
      <c r="G30" s="155" t="s">
        <v>8</v>
      </c>
      <c r="H30" s="4">
        <f>SUM(C31:C32)</f>
        <v>2202</v>
      </c>
      <c r="I30" s="3">
        <f>SUM(D31:D32)</f>
        <v>2106</v>
      </c>
      <c r="J30" s="3">
        <f>SUM(H30:I30)</f>
        <v>4308</v>
      </c>
    </row>
    <row r="31" spans="2:10" ht="15">
      <c r="B31" s="149" t="s">
        <v>60</v>
      </c>
      <c r="C31" s="3">
        <v>1005</v>
      </c>
      <c r="D31" s="20">
        <v>969</v>
      </c>
      <c r="E31" s="3">
        <f t="shared" si="2"/>
        <v>1974</v>
      </c>
      <c r="F31" s="90"/>
      <c r="G31" s="155" t="s">
        <v>10</v>
      </c>
      <c r="H31" s="4">
        <f>SUM(C33:C41)</f>
        <v>8306</v>
      </c>
      <c r="I31" s="3">
        <f>SUM(D33:D41)</f>
        <v>8846</v>
      </c>
      <c r="J31" s="3">
        <f>SUM(H31:I31)</f>
        <v>17152</v>
      </c>
    </row>
    <row r="32" spans="2:10" ht="15.75" thickBot="1">
      <c r="B32" s="149" t="s">
        <v>11</v>
      </c>
      <c r="C32" s="3">
        <v>1197</v>
      </c>
      <c r="D32" s="20">
        <v>1137</v>
      </c>
      <c r="E32" s="3">
        <f t="shared" si="2"/>
        <v>2334</v>
      </c>
      <c r="F32" s="90"/>
      <c r="G32" s="155" t="s">
        <v>12</v>
      </c>
      <c r="H32" s="4">
        <f>SUM(C42:C45)</f>
        <v>1368</v>
      </c>
      <c r="I32" s="3">
        <f>SUM(D42:D45)</f>
        <v>1838</v>
      </c>
      <c r="J32" s="3">
        <f>SUM(H32:I32)</f>
        <v>3206</v>
      </c>
    </row>
    <row r="33" spans="2:10" ht="15.75" thickBot="1">
      <c r="B33" s="149" t="s">
        <v>13</v>
      </c>
      <c r="C33" s="3">
        <v>1206</v>
      </c>
      <c r="D33" s="20">
        <v>1271</v>
      </c>
      <c r="E33" s="3">
        <f t="shared" si="2"/>
        <v>2477</v>
      </c>
      <c r="F33" s="90"/>
      <c r="G33" s="156" t="s">
        <v>14</v>
      </c>
      <c r="H33" s="157">
        <f>SUM(H29:H32)</f>
        <v>13814</v>
      </c>
      <c r="I33" s="152">
        <f>SUM(I29:I32)</f>
        <v>14703</v>
      </c>
      <c r="J33" s="152">
        <f>SUM(J29:J32)</f>
        <v>28517</v>
      </c>
    </row>
    <row r="34" spans="2:11" ht="15.75" thickBot="1">
      <c r="B34" s="149" t="s">
        <v>15</v>
      </c>
      <c r="C34" s="3">
        <v>1080</v>
      </c>
      <c r="D34" s="20">
        <v>1058</v>
      </c>
      <c r="E34" s="3">
        <f t="shared" si="2"/>
        <v>2138</v>
      </c>
      <c r="F34" s="90"/>
      <c r="K34" s="84"/>
    </row>
    <row r="35" spans="2:10" ht="15">
      <c r="B35" s="149" t="s">
        <v>16</v>
      </c>
      <c r="C35" s="3">
        <v>894</v>
      </c>
      <c r="D35" s="20">
        <v>929</v>
      </c>
      <c r="E35" s="3">
        <f t="shared" si="2"/>
        <v>1823</v>
      </c>
      <c r="F35" s="90"/>
      <c r="G35" s="200" t="s">
        <v>61</v>
      </c>
      <c r="H35" s="158">
        <f>SUM(C33:C37)</f>
        <v>5008</v>
      </c>
      <c r="I35" s="213"/>
      <c r="J35" s="5"/>
    </row>
    <row r="36" spans="2:10" ht="15">
      <c r="B36" s="149" t="s">
        <v>17</v>
      </c>
      <c r="C36" s="3">
        <v>890</v>
      </c>
      <c r="D36" s="20">
        <v>1018</v>
      </c>
      <c r="E36" s="3">
        <f t="shared" si="2"/>
        <v>1908</v>
      </c>
      <c r="F36" s="90"/>
      <c r="G36" s="202" t="s">
        <v>62</v>
      </c>
      <c r="H36" s="199">
        <f>SUM(D38:D41)</f>
        <v>3509</v>
      </c>
      <c r="I36" s="213"/>
      <c r="J36" s="5"/>
    </row>
    <row r="37" spans="2:10" ht="15">
      <c r="B37" s="149" t="s">
        <v>18</v>
      </c>
      <c r="C37" s="3">
        <v>938</v>
      </c>
      <c r="D37" s="20">
        <v>1061</v>
      </c>
      <c r="E37" s="3">
        <f>SUM(C37:D37)</f>
        <v>1999</v>
      </c>
      <c r="F37" s="90"/>
      <c r="G37" s="214" t="s">
        <v>65</v>
      </c>
      <c r="H37" s="215">
        <f>SUM(E29:E32)</f>
        <v>8159</v>
      </c>
      <c r="I37" s="213"/>
      <c r="J37" s="5"/>
    </row>
    <row r="38" spans="2:9" ht="15">
      <c r="B38" s="149" t="s">
        <v>19</v>
      </c>
      <c r="C38" s="3">
        <v>1020</v>
      </c>
      <c r="D38" s="20">
        <v>1110</v>
      </c>
      <c r="E38" s="3">
        <f t="shared" si="2"/>
        <v>2130</v>
      </c>
      <c r="F38" s="90"/>
      <c r="G38" s="202" t="s">
        <v>59</v>
      </c>
      <c r="H38" s="199">
        <f>SUM(E42:E45)</f>
        <v>3206</v>
      </c>
      <c r="I38" s="213"/>
    </row>
    <row r="39" spans="2:9" ht="15">
      <c r="B39" s="149" t="s">
        <v>20</v>
      </c>
      <c r="C39" s="3">
        <v>1020</v>
      </c>
      <c r="D39" s="20">
        <v>995</v>
      </c>
      <c r="E39" s="3">
        <f t="shared" si="2"/>
        <v>2015</v>
      </c>
      <c r="F39" s="90"/>
      <c r="G39" s="214" t="s">
        <v>57</v>
      </c>
      <c r="H39" s="215">
        <v>399</v>
      </c>
      <c r="I39" s="213"/>
    </row>
    <row r="40" spans="2:9" ht="15">
      <c r="B40" s="149" t="s">
        <v>21</v>
      </c>
      <c r="C40" s="3">
        <v>748</v>
      </c>
      <c r="D40" s="20">
        <v>802</v>
      </c>
      <c r="E40" s="3">
        <f t="shared" si="2"/>
        <v>1550</v>
      </c>
      <c r="F40" s="90"/>
      <c r="G40" s="202" t="s">
        <v>58</v>
      </c>
      <c r="H40" s="199">
        <v>420</v>
      </c>
      <c r="I40" s="213"/>
    </row>
    <row r="41" spans="2:9" ht="15.75" thickBot="1">
      <c r="B41" s="149" t="s">
        <v>22</v>
      </c>
      <c r="C41" s="3">
        <v>510</v>
      </c>
      <c r="D41" s="20">
        <v>602</v>
      </c>
      <c r="E41" s="3">
        <f t="shared" si="2"/>
        <v>1112</v>
      </c>
      <c r="F41" s="90"/>
      <c r="G41" s="201" t="s">
        <v>64</v>
      </c>
      <c r="H41" s="159">
        <f>ROUND(E41/5,0)</f>
        <v>222</v>
      </c>
      <c r="I41" s="213"/>
    </row>
    <row r="42" spans="2:8" ht="15">
      <c r="B42" s="149" t="s">
        <v>23</v>
      </c>
      <c r="C42" s="3">
        <v>396</v>
      </c>
      <c r="D42" s="20">
        <v>504</v>
      </c>
      <c r="E42" s="3">
        <f t="shared" si="2"/>
        <v>900</v>
      </c>
      <c r="F42" s="90"/>
      <c r="G42" s="200" t="s">
        <v>104</v>
      </c>
      <c r="H42" s="158">
        <f>175+187</f>
        <v>362</v>
      </c>
    </row>
    <row r="43" spans="2:8" ht="15.75" thickBot="1">
      <c r="B43" s="149" t="s">
        <v>24</v>
      </c>
      <c r="C43" s="3">
        <v>363</v>
      </c>
      <c r="D43" s="20">
        <v>462</v>
      </c>
      <c r="E43" s="3">
        <f t="shared" si="2"/>
        <v>825</v>
      </c>
      <c r="F43" s="90"/>
      <c r="G43" s="268" t="s">
        <v>105</v>
      </c>
      <c r="H43" s="198">
        <f>197+192</f>
        <v>389</v>
      </c>
    </row>
    <row r="44" spans="2:7" ht="15">
      <c r="B44" s="149" t="s">
        <v>25</v>
      </c>
      <c r="C44" s="3">
        <v>287</v>
      </c>
      <c r="D44" s="20">
        <v>376</v>
      </c>
      <c r="E44" s="3">
        <f t="shared" si="2"/>
        <v>663</v>
      </c>
      <c r="F44" s="90"/>
      <c r="G44" s="12"/>
    </row>
    <row r="45" spans="2:7" ht="15.75" thickBot="1">
      <c r="B45" s="149" t="s">
        <v>26</v>
      </c>
      <c r="C45" s="3">
        <v>322</v>
      </c>
      <c r="D45" s="20">
        <v>496</v>
      </c>
      <c r="E45" s="3">
        <f t="shared" si="2"/>
        <v>818</v>
      </c>
      <c r="F45" s="90"/>
      <c r="G45" s="11"/>
    </row>
    <row r="46" spans="2:7" ht="15.75" thickBot="1">
      <c r="B46" s="151" t="s">
        <v>14</v>
      </c>
      <c r="C46" s="152">
        <f>SUM(C29:C45)</f>
        <v>13814</v>
      </c>
      <c r="D46" s="153">
        <f>SUM(D29:D45)</f>
        <v>14703</v>
      </c>
      <c r="E46" s="152">
        <f>SUM(E29:E45)</f>
        <v>28517</v>
      </c>
      <c r="F46" s="90"/>
      <c r="G46" s="11"/>
    </row>
    <row r="47" spans="5:7" ht="20.25" customHeight="1" thickBot="1">
      <c r="E47" s="87"/>
      <c r="F47" s="90"/>
      <c r="G47" s="11"/>
    </row>
    <row r="48" spans="1:18" ht="28.5" customHeight="1" thickBot="1">
      <c r="A48" s="13"/>
      <c r="B48" s="241" t="s">
        <v>45</v>
      </c>
      <c r="C48" s="243" t="s">
        <v>89</v>
      </c>
      <c r="D48" s="244"/>
      <c r="E48" s="245"/>
      <c r="F48" s="90"/>
      <c r="G48" s="241" t="s">
        <v>45</v>
      </c>
      <c r="H48" s="243" t="s">
        <v>89</v>
      </c>
      <c r="I48" s="244"/>
      <c r="J48" s="245"/>
      <c r="L48" s="13"/>
      <c r="M48" s="13"/>
      <c r="N48" s="13"/>
      <c r="O48" s="13"/>
      <c r="P48" s="13"/>
      <c r="Q48" s="13"/>
      <c r="R48" s="13"/>
    </row>
    <row r="49" spans="1:18" ht="13.5" thickBot="1">
      <c r="A49" s="13"/>
      <c r="B49" s="242"/>
      <c r="C49" s="146" t="s">
        <v>2</v>
      </c>
      <c r="D49" s="147" t="s">
        <v>3</v>
      </c>
      <c r="E49" s="148" t="s">
        <v>4</v>
      </c>
      <c r="F49" s="90"/>
      <c r="G49" s="242"/>
      <c r="H49" s="146" t="s">
        <v>2</v>
      </c>
      <c r="I49" s="147" t="s">
        <v>3</v>
      </c>
      <c r="J49" s="148" t="s">
        <v>4</v>
      </c>
      <c r="L49" s="13"/>
      <c r="M49" s="13"/>
      <c r="N49" s="13"/>
      <c r="O49" s="13"/>
      <c r="P49" s="13"/>
      <c r="Q49" s="13"/>
      <c r="R49" s="13"/>
    </row>
    <row r="50" spans="2:11" ht="15">
      <c r="B50" s="149" t="s">
        <v>5</v>
      </c>
      <c r="C50" s="3">
        <f>1088+5</f>
        <v>1093</v>
      </c>
      <c r="D50" s="20">
        <f>1126+1</f>
        <v>1127</v>
      </c>
      <c r="E50" s="18">
        <f aca="true" t="shared" si="3" ref="E50:E66">SUM(C50:D50)</f>
        <v>2220</v>
      </c>
      <c r="F50" s="90"/>
      <c r="G50" s="154" t="s">
        <v>6</v>
      </c>
      <c r="H50" s="4">
        <f>SUM(C50:C51)</f>
        <v>2201</v>
      </c>
      <c r="I50" s="18">
        <f>SUM(D50:D51)</f>
        <v>2232</v>
      </c>
      <c r="J50" s="18">
        <f>SUM(H50:I50)</f>
        <v>4433</v>
      </c>
      <c r="K50" s="84"/>
    </row>
    <row r="51" spans="1:18" ht="15">
      <c r="A51" s="13"/>
      <c r="B51" s="150" t="s">
        <v>7</v>
      </c>
      <c r="C51" s="3">
        <v>1108</v>
      </c>
      <c r="D51" s="20">
        <v>1105</v>
      </c>
      <c r="E51" s="3">
        <f t="shared" si="3"/>
        <v>2213</v>
      </c>
      <c r="F51" s="90"/>
      <c r="G51" s="155" t="s">
        <v>8</v>
      </c>
      <c r="H51" s="4">
        <f>SUM(C52:C53)</f>
        <v>2301</v>
      </c>
      <c r="I51" s="3">
        <f>SUM(D52:D53)</f>
        <v>2400</v>
      </c>
      <c r="J51" s="3">
        <f>SUM(H51:I51)</f>
        <v>4701</v>
      </c>
      <c r="L51" s="13"/>
      <c r="M51" s="13"/>
      <c r="N51" s="13"/>
      <c r="O51" s="13"/>
      <c r="P51" s="13"/>
      <c r="Q51" s="13"/>
      <c r="R51" s="13"/>
    </row>
    <row r="52" spans="1:18" ht="15">
      <c r="A52" s="13"/>
      <c r="B52" s="149" t="s">
        <v>60</v>
      </c>
      <c r="C52" s="3">
        <v>1057</v>
      </c>
      <c r="D52" s="20">
        <v>1092</v>
      </c>
      <c r="E52" s="3">
        <f t="shared" si="3"/>
        <v>2149</v>
      </c>
      <c r="F52" s="90"/>
      <c r="G52" s="155" t="s">
        <v>10</v>
      </c>
      <c r="H52" s="4">
        <f>SUM(C54:C62)</f>
        <v>8936</v>
      </c>
      <c r="I52" s="3">
        <f>SUM(D54:D62)</f>
        <v>11200</v>
      </c>
      <c r="J52" s="3">
        <f>SUM(H52:I52)</f>
        <v>20136</v>
      </c>
      <c r="L52" s="13"/>
      <c r="M52" s="13"/>
      <c r="N52" s="13"/>
      <c r="O52" s="13"/>
      <c r="P52" s="13"/>
      <c r="Q52" s="13"/>
      <c r="R52" s="13"/>
    </row>
    <row r="53" spans="1:18" ht="15.75" thickBot="1">
      <c r="A53" s="13"/>
      <c r="B53" s="149" t="s">
        <v>11</v>
      </c>
      <c r="C53" s="3">
        <v>1244</v>
      </c>
      <c r="D53" s="20">
        <v>1308</v>
      </c>
      <c r="E53" s="3">
        <f t="shared" si="3"/>
        <v>2552</v>
      </c>
      <c r="F53" s="90"/>
      <c r="G53" s="155" t="s">
        <v>12</v>
      </c>
      <c r="H53" s="4">
        <f>SUM(C63:C66)</f>
        <v>2440</v>
      </c>
      <c r="I53" s="3">
        <f>SUM(D63:D66)</f>
        <v>3724</v>
      </c>
      <c r="J53" s="3">
        <f>SUM(H53:I53)</f>
        <v>6164</v>
      </c>
      <c r="L53" s="13"/>
      <c r="M53" s="13"/>
      <c r="N53" s="13"/>
      <c r="O53" s="13"/>
      <c r="P53" s="13"/>
      <c r="Q53" s="13"/>
      <c r="R53" s="13"/>
    </row>
    <row r="54" spans="1:18" ht="15.75" thickBot="1">
      <c r="A54" s="13"/>
      <c r="B54" s="149" t="s">
        <v>13</v>
      </c>
      <c r="C54" s="3">
        <v>1390</v>
      </c>
      <c r="D54" s="20">
        <v>1586</v>
      </c>
      <c r="E54" s="3">
        <f t="shared" si="3"/>
        <v>2976</v>
      </c>
      <c r="F54" s="90"/>
      <c r="G54" s="156" t="s">
        <v>14</v>
      </c>
      <c r="H54" s="157">
        <f>SUM(H50:H53)</f>
        <v>15878</v>
      </c>
      <c r="I54" s="152">
        <f>SUM(I50:I53)</f>
        <v>19556</v>
      </c>
      <c r="J54" s="152">
        <f>SUM(J50:J53)</f>
        <v>35434</v>
      </c>
      <c r="L54" s="13"/>
      <c r="M54" s="13"/>
      <c r="N54" s="13"/>
      <c r="O54" s="13"/>
      <c r="P54" s="13"/>
      <c r="Q54" s="13"/>
      <c r="R54" s="13"/>
    </row>
    <row r="55" spans="1:18" ht="15.75" thickBot="1">
      <c r="A55" s="13"/>
      <c r="B55" s="149" t="s">
        <v>15</v>
      </c>
      <c r="C55" s="3">
        <v>1115</v>
      </c>
      <c r="D55" s="20">
        <v>1344</v>
      </c>
      <c r="E55" s="3">
        <f t="shared" si="3"/>
        <v>2459</v>
      </c>
      <c r="F55" s="90"/>
      <c r="K55" s="84"/>
      <c r="L55" s="13"/>
      <c r="M55" s="13"/>
      <c r="N55" s="13"/>
      <c r="O55" s="13"/>
      <c r="P55" s="13"/>
      <c r="Q55" s="13"/>
      <c r="R55" s="13"/>
    </row>
    <row r="56" spans="1:18" ht="15">
      <c r="A56" s="13"/>
      <c r="B56" s="149" t="s">
        <v>16</v>
      </c>
      <c r="C56" s="3">
        <v>925</v>
      </c>
      <c r="D56" s="20">
        <v>1190</v>
      </c>
      <c r="E56" s="3">
        <f t="shared" si="3"/>
        <v>2115</v>
      </c>
      <c r="F56" s="90"/>
      <c r="G56" s="200" t="s">
        <v>61</v>
      </c>
      <c r="H56" s="158">
        <f>SUM(C54:C58)</f>
        <v>5282</v>
      </c>
      <c r="I56" s="213"/>
      <c r="J56" s="5"/>
      <c r="L56" s="13"/>
      <c r="M56" s="13"/>
      <c r="N56" s="13"/>
      <c r="O56" s="13"/>
      <c r="P56" s="13"/>
      <c r="Q56" s="13"/>
      <c r="R56" s="13"/>
    </row>
    <row r="57" spans="1:18" ht="15">
      <c r="A57" s="13"/>
      <c r="B57" s="149" t="s">
        <v>17</v>
      </c>
      <c r="C57" s="3">
        <v>873</v>
      </c>
      <c r="D57" s="20">
        <v>1166</v>
      </c>
      <c r="E57" s="3">
        <f t="shared" si="3"/>
        <v>2039</v>
      </c>
      <c r="F57" s="90"/>
      <c r="G57" s="202" t="s">
        <v>62</v>
      </c>
      <c r="H57" s="199">
        <f>SUM(D59:D62)</f>
        <v>4627</v>
      </c>
      <c r="I57" s="213"/>
      <c r="J57" s="5"/>
      <c r="L57" s="13"/>
      <c r="M57" s="13"/>
      <c r="N57" s="13"/>
      <c r="O57" s="13"/>
      <c r="P57" s="13"/>
      <c r="Q57" s="13"/>
      <c r="R57" s="13"/>
    </row>
    <row r="58" spans="1:18" ht="15">
      <c r="A58" s="13"/>
      <c r="B58" s="149" t="s">
        <v>18</v>
      </c>
      <c r="C58" s="3">
        <v>979</v>
      </c>
      <c r="D58" s="20">
        <v>1287</v>
      </c>
      <c r="E58" s="3">
        <f t="shared" si="3"/>
        <v>2266</v>
      </c>
      <c r="F58" s="90"/>
      <c r="G58" s="214" t="s">
        <v>65</v>
      </c>
      <c r="H58" s="215">
        <f>SUM(E50:E53)</f>
        <v>9134</v>
      </c>
      <c r="I58" s="213"/>
      <c r="J58" s="5"/>
      <c r="L58" s="13"/>
      <c r="M58" s="13"/>
      <c r="N58" s="13"/>
      <c r="O58" s="13"/>
      <c r="P58" s="13"/>
      <c r="Q58" s="13"/>
      <c r="R58" s="13"/>
    </row>
    <row r="59" spans="1:18" ht="15">
      <c r="A59" s="13"/>
      <c r="B59" s="149" t="s">
        <v>19</v>
      </c>
      <c r="C59" s="3">
        <v>986</v>
      </c>
      <c r="D59" s="20">
        <v>1224</v>
      </c>
      <c r="E59" s="3">
        <f t="shared" si="3"/>
        <v>2210</v>
      </c>
      <c r="F59" s="90"/>
      <c r="G59" s="202" t="s">
        <v>59</v>
      </c>
      <c r="H59" s="199">
        <f>SUM(E63:E66)</f>
        <v>6164</v>
      </c>
      <c r="I59" s="213"/>
      <c r="L59" s="13"/>
      <c r="M59" s="13"/>
      <c r="N59" s="13"/>
      <c r="O59" s="13"/>
      <c r="P59" s="13"/>
      <c r="Q59" s="13"/>
      <c r="R59" s="13"/>
    </row>
    <row r="60" spans="1:18" ht="15">
      <c r="A60" s="13"/>
      <c r="B60" s="149" t="s">
        <v>20</v>
      </c>
      <c r="C60" s="3">
        <v>996</v>
      </c>
      <c r="D60" s="20">
        <v>1203</v>
      </c>
      <c r="E60" s="3">
        <f t="shared" si="3"/>
        <v>2199</v>
      </c>
      <c r="F60" s="90"/>
      <c r="G60" s="214" t="s">
        <v>57</v>
      </c>
      <c r="H60" s="215">
        <v>472</v>
      </c>
      <c r="I60" s="213"/>
      <c r="L60" s="13"/>
      <c r="M60" s="13"/>
      <c r="N60" s="13"/>
      <c r="O60" s="13"/>
      <c r="P60" s="13"/>
      <c r="Q60" s="13"/>
      <c r="R60" s="13"/>
    </row>
    <row r="61" spans="1:18" ht="15">
      <c r="A61" s="13"/>
      <c r="B61" s="149" t="s">
        <v>21</v>
      </c>
      <c r="C61" s="3">
        <v>890</v>
      </c>
      <c r="D61" s="20">
        <v>1123</v>
      </c>
      <c r="E61" s="3">
        <f t="shared" si="3"/>
        <v>2013</v>
      </c>
      <c r="F61" s="90"/>
      <c r="G61" s="202" t="s">
        <v>58</v>
      </c>
      <c r="H61" s="199">
        <v>427</v>
      </c>
      <c r="I61" s="213"/>
      <c r="L61" s="13"/>
      <c r="M61" s="13"/>
      <c r="N61" s="13"/>
      <c r="O61" s="13"/>
      <c r="P61" s="13"/>
      <c r="Q61" s="13"/>
      <c r="R61" s="13"/>
    </row>
    <row r="62" spans="1:18" ht="15.75" thickBot="1">
      <c r="A62" s="13"/>
      <c r="B62" s="149" t="s">
        <v>22</v>
      </c>
      <c r="C62" s="3">
        <v>782</v>
      </c>
      <c r="D62" s="20">
        <v>1077</v>
      </c>
      <c r="E62" s="3">
        <f t="shared" si="3"/>
        <v>1859</v>
      </c>
      <c r="F62" s="90"/>
      <c r="G62" s="201" t="s">
        <v>64</v>
      </c>
      <c r="H62" s="159">
        <f>ROUND(E62/5,0)</f>
        <v>372</v>
      </c>
      <c r="I62" s="213"/>
      <c r="L62" s="13"/>
      <c r="M62" s="13"/>
      <c r="N62" s="13"/>
      <c r="O62" s="13"/>
      <c r="P62" s="13"/>
      <c r="Q62" s="13"/>
      <c r="R62" s="13"/>
    </row>
    <row r="63" spans="1:18" ht="15">
      <c r="A63" s="13"/>
      <c r="B63" s="149" t="s">
        <v>23</v>
      </c>
      <c r="C63" s="3">
        <v>759</v>
      </c>
      <c r="D63" s="20">
        <v>994</v>
      </c>
      <c r="E63" s="3">
        <f t="shared" si="3"/>
        <v>1753</v>
      </c>
      <c r="F63" s="90"/>
      <c r="G63" s="200" t="s">
        <v>104</v>
      </c>
      <c r="H63" s="158">
        <f>244+247+3</f>
        <v>494</v>
      </c>
      <c r="L63" s="13"/>
      <c r="M63" s="13"/>
      <c r="N63" s="13"/>
      <c r="O63" s="13"/>
      <c r="P63" s="13"/>
      <c r="Q63" s="13"/>
      <c r="R63" s="13"/>
    </row>
    <row r="64" spans="1:18" ht="15.75" thickBot="1">
      <c r="A64" s="13"/>
      <c r="B64" s="149" t="s">
        <v>24</v>
      </c>
      <c r="C64" s="3">
        <v>655</v>
      </c>
      <c r="D64" s="20">
        <v>898</v>
      </c>
      <c r="E64" s="3">
        <f t="shared" si="3"/>
        <v>1553</v>
      </c>
      <c r="F64" s="90"/>
      <c r="G64" s="268" t="s">
        <v>105</v>
      </c>
      <c r="H64" s="198">
        <f>206+238+3</f>
        <v>447</v>
      </c>
      <c r="L64" s="13"/>
      <c r="M64" s="13"/>
      <c r="N64" s="13"/>
      <c r="O64" s="13"/>
      <c r="P64" s="13"/>
      <c r="Q64" s="13"/>
      <c r="R64" s="13"/>
    </row>
    <row r="65" spans="1:18" ht="15">
      <c r="A65" s="13"/>
      <c r="B65" s="149" t="s">
        <v>25</v>
      </c>
      <c r="C65" s="3">
        <v>453</v>
      </c>
      <c r="D65" s="20">
        <v>697</v>
      </c>
      <c r="E65" s="3">
        <f t="shared" si="3"/>
        <v>1150</v>
      </c>
      <c r="F65" s="90"/>
      <c r="L65" s="13"/>
      <c r="M65" s="13"/>
      <c r="N65" s="13"/>
      <c r="O65" s="13"/>
      <c r="P65" s="13"/>
      <c r="Q65" s="13"/>
      <c r="R65" s="13"/>
    </row>
    <row r="66" spans="1:18" ht="15.75" thickBot="1">
      <c r="A66" s="13"/>
      <c r="B66" s="149" t="s">
        <v>26</v>
      </c>
      <c r="C66" s="3">
        <v>573</v>
      </c>
      <c r="D66" s="20">
        <v>1135</v>
      </c>
      <c r="E66" s="3">
        <f t="shared" si="3"/>
        <v>1708</v>
      </c>
      <c r="F66" s="90"/>
      <c r="L66" s="13"/>
      <c r="M66" s="13"/>
      <c r="N66" s="13"/>
      <c r="O66" s="13"/>
      <c r="P66" s="13"/>
      <c r="Q66" s="13"/>
      <c r="R66" s="13"/>
    </row>
    <row r="67" spans="1:18" ht="15.75" thickBot="1">
      <c r="A67" s="13"/>
      <c r="B67" s="151" t="s">
        <v>14</v>
      </c>
      <c r="C67" s="152">
        <f>SUM(C50:C66)</f>
        <v>15878</v>
      </c>
      <c r="D67" s="153">
        <f>SUM(D50:D66)</f>
        <v>19556</v>
      </c>
      <c r="E67" s="152">
        <f>SUM(E50:E66)</f>
        <v>35434</v>
      </c>
      <c r="F67" s="90"/>
      <c r="L67" s="13"/>
      <c r="M67" s="13"/>
      <c r="N67" s="13"/>
      <c r="O67" s="13"/>
      <c r="P67" s="13"/>
      <c r="Q67" s="13"/>
      <c r="R67" s="13"/>
    </row>
    <row r="68" spans="1:18" ht="19.5" customHeight="1" thickBot="1">
      <c r="A68" s="13"/>
      <c r="B68" s="11"/>
      <c r="C68" s="15"/>
      <c r="D68" s="15"/>
      <c r="E68" s="88"/>
      <c r="F68" s="90"/>
      <c r="L68" s="13"/>
      <c r="M68" s="13"/>
      <c r="N68" s="13"/>
      <c r="O68" s="13"/>
      <c r="P68" s="13"/>
      <c r="Q68" s="13"/>
      <c r="R68" s="13"/>
    </row>
    <row r="69" spans="1:18" ht="26.25" customHeight="1" thickBot="1">
      <c r="A69" s="13"/>
      <c r="B69" s="241" t="s">
        <v>45</v>
      </c>
      <c r="C69" s="243" t="s">
        <v>90</v>
      </c>
      <c r="D69" s="244"/>
      <c r="E69" s="245"/>
      <c r="F69" s="90"/>
      <c r="G69" s="241" t="s">
        <v>45</v>
      </c>
      <c r="H69" s="243" t="s">
        <v>90</v>
      </c>
      <c r="I69" s="244"/>
      <c r="J69" s="245"/>
      <c r="K69" s="13"/>
      <c r="L69" s="13"/>
      <c r="M69" s="13"/>
      <c r="N69" s="13"/>
      <c r="O69" s="13"/>
      <c r="P69" s="13"/>
      <c r="Q69" s="13"/>
      <c r="R69" s="13"/>
    </row>
    <row r="70" spans="1:18" ht="13.5" thickBot="1">
      <c r="A70" s="13"/>
      <c r="B70" s="242"/>
      <c r="C70" s="146" t="s">
        <v>2</v>
      </c>
      <c r="D70" s="147" t="s">
        <v>3</v>
      </c>
      <c r="E70" s="148" t="s">
        <v>4</v>
      </c>
      <c r="F70" s="90"/>
      <c r="G70" s="242"/>
      <c r="H70" s="146" t="s">
        <v>2</v>
      </c>
      <c r="I70" s="147" t="s">
        <v>3</v>
      </c>
      <c r="J70" s="148" t="s">
        <v>4</v>
      </c>
      <c r="K70" s="13"/>
      <c r="L70" s="13"/>
      <c r="M70" s="13"/>
      <c r="N70" s="13"/>
      <c r="O70" s="13"/>
      <c r="P70" s="13"/>
      <c r="Q70" s="13"/>
      <c r="R70" s="13"/>
    </row>
    <row r="71" spans="1:18" ht="15">
      <c r="A71" s="13"/>
      <c r="B71" s="149" t="s">
        <v>5</v>
      </c>
      <c r="C71" s="3">
        <f>398+0</f>
        <v>398</v>
      </c>
      <c r="D71" s="20">
        <f>417+0</f>
        <v>417</v>
      </c>
      <c r="E71" s="18">
        <f aca="true" t="shared" si="4" ref="E71:E87">SUM(C71:D71)</f>
        <v>815</v>
      </c>
      <c r="F71" s="90"/>
      <c r="G71" s="154" t="s">
        <v>6</v>
      </c>
      <c r="H71" s="4">
        <f>SUM(C71:C72)</f>
        <v>821</v>
      </c>
      <c r="I71" s="18">
        <f>SUM(D71:D72)</f>
        <v>791</v>
      </c>
      <c r="J71" s="18">
        <f>SUM(H71:I71)</f>
        <v>1612</v>
      </c>
      <c r="K71" s="13"/>
      <c r="L71" s="13"/>
      <c r="M71" s="13"/>
      <c r="N71" s="13"/>
      <c r="O71" s="13"/>
      <c r="P71" s="13"/>
      <c r="Q71" s="13"/>
      <c r="R71" s="13"/>
    </row>
    <row r="72" spans="1:18" ht="15">
      <c r="A72" s="13"/>
      <c r="B72" s="150" t="s">
        <v>7</v>
      </c>
      <c r="C72" s="3">
        <v>423</v>
      </c>
      <c r="D72" s="20">
        <v>374</v>
      </c>
      <c r="E72" s="3">
        <f t="shared" si="4"/>
        <v>797</v>
      </c>
      <c r="F72" s="90"/>
      <c r="G72" s="155" t="s">
        <v>8</v>
      </c>
      <c r="H72" s="4">
        <f>SUM(C73:C74)</f>
        <v>841</v>
      </c>
      <c r="I72" s="3">
        <f>SUM(D73:D74)</f>
        <v>818</v>
      </c>
      <c r="J72" s="3">
        <f>SUM(H72:I72)</f>
        <v>1659</v>
      </c>
      <c r="K72" s="13"/>
      <c r="L72" s="13"/>
      <c r="M72" s="13"/>
      <c r="N72" s="13"/>
      <c r="O72" s="13"/>
      <c r="P72" s="13"/>
      <c r="Q72" s="13"/>
      <c r="R72" s="13"/>
    </row>
    <row r="73" spans="1:18" ht="15">
      <c r="A73" s="13"/>
      <c r="B73" s="149" t="s">
        <v>60</v>
      </c>
      <c r="C73" s="3">
        <v>417</v>
      </c>
      <c r="D73" s="20">
        <v>388</v>
      </c>
      <c r="E73" s="3">
        <f t="shared" si="4"/>
        <v>805</v>
      </c>
      <c r="F73" s="90"/>
      <c r="G73" s="155" t="s">
        <v>10</v>
      </c>
      <c r="H73" s="4">
        <f>SUM(C75:C83)</f>
        <v>3013</v>
      </c>
      <c r="I73" s="3">
        <f>SUM(D75:D83)</f>
        <v>3732</v>
      </c>
      <c r="J73" s="3">
        <f>SUM(H73:I73)</f>
        <v>6745</v>
      </c>
      <c r="K73" s="13"/>
      <c r="L73" s="13"/>
      <c r="M73" s="13"/>
      <c r="N73" s="13"/>
      <c r="O73" s="13"/>
      <c r="P73" s="13"/>
      <c r="Q73" s="13"/>
      <c r="R73" s="13"/>
    </row>
    <row r="74" spans="1:18" ht="15.75" thickBot="1">
      <c r="A74" s="13"/>
      <c r="B74" s="149" t="s">
        <v>11</v>
      </c>
      <c r="C74" s="3">
        <v>424</v>
      </c>
      <c r="D74" s="20">
        <v>430</v>
      </c>
      <c r="E74" s="3">
        <f t="shared" si="4"/>
        <v>854</v>
      </c>
      <c r="F74" s="90"/>
      <c r="G74" s="155" t="s">
        <v>12</v>
      </c>
      <c r="H74" s="4">
        <f>SUM(C84:C87)</f>
        <v>517</v>
      </c>
      <c r="I74" s="3">
        <f>SUM(D84:D87)</f>
        <v>688</v>
      </c>
      <c r="J74" s="3">
        <f>SUM(H74:I74)</f>
        <v>1205</v>
      </c>
      <c r="K74" s="13"/>
      <c r="L74" s="13"/>
      <c r="M74" s="13"/>
      <c r="N74" s="13"/>
      <c r="O74" s="13"/>
      <c r="P74" s="13"/>
      <c r="Q74" s="13"/>
      <c r="R74" s="13"/>
    </row>
    <row r="75" spans="1:18" ht="15.75" thickBot="1">
      <c r="A75" s="13"/>
      <c r="B75" s="149" t="s">
        <v>13</v>
      </c>
      <c r="C75" s="3">
        <v>425</v>
      </c>
      <c r="D75" s="20">
        <v>527</v>
      </c>
      <c r="E75" s="3">
        <f t="shared" si="4"/>
        <v>952</v>
      </c>
      <c r="F75" s="90"/>
      <c r="G75" s="156" t="s">
        <v>14</v>
      </c>
      <c r="H75" s="157">
        <f>SUM(H71:H74)</f>
        <v>5192</v>
      </c>
      <c r="I75" s="152">
        <f>SUM(I71:I74)</f>
        <v>6029</v>
      </c>
      <c r="J75" s="152">
        <f>SUM(J71:J74)</f>
        <v>11221</v>
      </c>
      <c r="L75" s="13"/>
      <c r="M75" s="13"/>
      <c r="N75" s="13"/>
      <c r="O75" s="13"/>
      <c r="P75" s="13"/>
      <c r="Q75" s="13"/>
      <c r="R75" s="13"/>
    </row>
    <row r="76" spans="1:18" ht="15.75" thickBot="1">
      <c r="A76" s="13"/>
      <c r="B76" s="149" t="s">
        <v>15</v>
      </c>
      <c r="C76" s="3">
        <v>377</v>
      </c>
      <c r="D76" s="20">
        <v>495</v>
      </c>
      <c r="E76" s="3">
        <f t="shared" si="4"/>
        <v>872</v>
      </c>
      <c r="F76" s="90"/>
      <c r="K76" s="84"/>
      <c r="L76" s="13"/>
      <c r="M76" s="13"/>
      <c r="N76" s="13"/>
      <c r="O76" s="13"/>
      <c r="P76" s="13"/>
      <c r="Q76" s="13"/>
      <c r="R76" s="13"/>
    </row>
    <row r="77" spans="1:18" ht="15">
      <c r="A77" s="13"/>
      <c r="B77" s="149" t="s">
        <v>16</v>
      </c>
      <c r="C77" s="3">
        <v>376</v>
      </c>
      <c r="D77" s="20">
        <v>428</v>
      </c>
      <c r="E77" s="3">
        <f t="shared" si="4"/>
        <v>804</v>
      </c>
      <c r="F77" s="90"/>
      <c r="G77" s="200" t="s">
        <v>61</v>
      </c>
      <c r="H77" s="158">
        <f>SUM(C75:C79)</f>
        <v>1810</v>
      </c>
      <c r="I77" s="213"/>
      <c r="J77" s="5"/>
      <c r="K77" s="13"/>
      <c r="L77" s="13"/>
      <c r="M77" s="13"/>
      <c r="N77" s="13"/>
      <c r="O77" s="13"/>
      <c r="P77" s="13"/>
      <c r="Q77" s="13"/>
      <c r="R77" s="13"/>
    </row>
    <row r="78" spans="1:18" ht="15">
      <c r="A78" s="13"/>
      <c r="B78" s="149" t="s">
        <v>17</v>
      </c>
      <c r="C78" s="3">
        <v>309</v>
      </c>
      <c r="D78" s="20">
        <v>431</v>
      </c>
      <c r="E78" s="3">
        <f t="shared" si="4"/>
        <v>740</v>
      </c>
      <c r="F78" s="90"/>
      <c r="G78" s="202" t="s">
        <v>62</v>
      </c>
      <c r="H78" s="199">
        <f>SUM(D80:D83)</f>
        <v>1410</v>
      </c>
      <c r="I78" s="213"/>
      <c r="J78" s="5"/>
      <c r="K78" s="13"/>
      <c r="L78" s="13"/>
      <c r="M78" s="13"/>
      <c r="N78" s="13"/>
      <c r="O78" s="13"/>
      <c r="P78" s="13"/>
      <c r="Q78" s="13"/>
      <c r="R78" s="13"/>
    </row>
    <row r="79" spans="1:18" ht="15">
      <c r="A79" s="13"/>
      <c r="B79" s="149" t="s">
        <v>18</v>
      </c>
      <c r="C79" s="3">
        <v>323</v>
      </c>
      <c r="D79" s="20">
        <v>441</v>
      </c>
      <c r="E79" s="3">
        <f t="shared" si="4"/>
        <v>764</v>
      </c>
      <c r="F79" s="90"/>
      <c r="G79" s="214" t="s">
        <v>65</v>
      </c>
      <c r="H79" s="215">
        <f>SUM(E71:E74)</f>
        <v>3271</v>
      </c>
      <c r="I79" s="213"/>
      <c r="J79" s="5"/>
      <c r="K79" s="16"/>
      <c r="L79" s="16"/>
      <c r="M79" s="16"/>
      <c r="N79" s="13"/>
      <c r="O79" s="13"/>
      <c r="P79" s="13"/>
      <c r="Q79" s="13"/>
      <c r="R79" s="13"/>
    </row>
    <row r="80" spans="1:18" ht="15">
      <c r="A80" s="13"/>
      <c r="B80" s="149" t="s">
        <v>19</v>
      </c>
      <c r="C80" s="3">
        <v>357</v>
      </c>
      <c r="D80" s="20">
        <v>423</v>
      </c>
      <c r="E80" s="3">
        <f t="shared" si="4"/>
        <v>780</v>
      </c>
      <c r="F80" s="90"/>
      <c r="G80" s="202" t="s">
        <v>59</v>
      </c>
      <c r="H80" s="199">
        <f>SUM(E84:E87)</f>
        <v>1205</v>
      </c>
      <c r="I80" s="213"/>
      <c r="J80" s="16"/>
      <c r="K80" s="16"/>
      <c r="L80" s="16"/>
      <c r="M80" s="16"/>
      <c r="N80" s="13"/>
      <c r="O80" s="13"/>
      <c r="P80" s="13"/>
      <c r="Q80" s="13"/>
      <c r="R80" s="13"/>
    </row>
    <row r="81" spans="1:13" ht="15">
      <c r="A81" s="13"/>
      <c r="B81" s="149" t="s">
        <v>20</v>
      </c>
      <c r="C81" s="3">
        <v>338</v>
      </c>
      <c r="D81" s="20">
        <v>389</v>
      </c>
      <c r="E81" s="3">
        <f t="shared" si="4"/>
        <v>727</v>
      </c>
      <c r="F81" s="90"/>
      <c r="G81" s="214" t="s">
        <v>57</v>
      </c>
      <c r="H81" s="215">
        <v>145</v>
      </c>
      <c r="I81" s="213"/>
      <c r="J81" s="16"/>
      <c r="K81" s="16"/>
      <c r="L81" s="16"/>
      <c r="M81" s="16"/>
    </row>
    <row r="82" spans="1:13" ht="15">
      <c r="A82" s="13"/>
      <c r="B82" s="149" t="s">
        <v>21</v>
      </c>
      <c r="C82" s="3">
        <v>275</v>
      </c>
      <c r="D82" s="20">
        <v>332</v>
      </c>
      <c r="E82" s="3">
        <f t="shared" si="4"/>
        <v>607</v>
      </c>
      <c r="F82" s="90"/>
      <c r="G82" s="202" t="s">
        <v>58</v>
      </c>
      <c r="H82" s="199">
        <v>167</v>
      </c>
      <c r="I82" s="213"/>
      <c r="J82" s="16"/>
      <c r="K82" s="16"/>
      <c r="L82" s="16"/>
      <c r="M82" s="16"/>
    </row>
    <row r="83" spans="1:13" ht="15.75" thickBot="1">
      <c r="A83" s="13"/>
      <c r="B83" s="149" t="s">
        <v>22</v>
      </c>
      <c r="C83" s="3">
        <v>233</v>
      </c>
      <c r="D83" s="20">
        <v>266</v>
      </c>
      <c r="E83" s="3">
        <f t="shared" si="4"/>
        <v>499</v>
      </c>
      <c r="F83" s="90"/>
      <c r="G83" s="201" t="s">
        <v>64</v>
      </c>
      <c r="H83" s="159">
        <f>ROUND(E83/5,0)</f>
        <v>100</v>
      </c>
      <c r="I83" s="213"/>
      <c r="J83" s="16"/>
      <c r="K83" s="16"/>
      <c r="L83" s="16"/>
      <c r="M83" s="16"/>
    </row>
    <row r="84" spans="1:13" ht="15">
      <c r="A84" s="13"/>
      <c r="B84" s="149" t="s">
        <v>23</v>
      </c>
      <c r="C84" s="3">
        <v>188</v>
      </c>
      <c r="D84" s="20">
        <v>218</v>
      </c>
      <c r="E84" s="3">
        <f t="shared" si="4"/>
        <v>406</v>
      </c>
      <c r="F84" s="90"/>
      <c r="G84" s="200" t="s">
        <v>104</v>
      </c>
      <c r="H84" s="158">
        <f>102+97</f>
        <v>199</v>
      </c>
      <c r="I84" s="17"/>
      <c r="J84" s="17"/>
      <c r="K84" s="17"/>
      <c r="L84" s="17"/>
      <c r="M84" s="17"/>
    </row>
    <row r="85" spans="1:13" ht="15.75" thickBot="1">
      <c r="A85" s="13"/>
      <c r="B85" s="149" t="s">
        <v>24</v>
      </c>
      <c r="C85" s="3">
        <v>135</v>
      </c>
      <c r="D85" s="20">
        <v>190</v>
      </c>
      <c r="E85" s="3">
        <f t="shared" si="4"/>
        <v>325</v>
      </c>
      <c r="F85" s="90"/>
      <c r="G85" s="268" t="s">
        <v>105</v>
      </c>
      <c r="H85" s="198">
        <f>82+84</f>
        <v>166</v>
      </c>
      <c r="I85" s="17"/>
      <c r="J85" s="17"/>
      <c r="K85" s="17"/>
      <c r="L85" s="17"/>
      <c r="M85" s="17"/>
    </row>
    <row r="86" spans="1:13" ht="15">
      <c r="A86" s="13"/>
      <c r="B86" s="149" t="s">
        <v>25</v>
      </c>
      <c r="C86" s="3">
        <v>107</v>
      </c>
      <c r="D86" s="20">
        <v>138</v>
      </c>
      <c r="E86" s="3">
        <f t="shared" si="4"/>
        <v>245</v>
      </c>
      <c r="F86" s="90"/>
      <c r="G86" s="13"/>
      <c r="H86" s="17"/>
      <c r="I86" s="17"/>
      <c r="J86" s="17"/>
      <c r="K86" s="17"/>
      <c r="L86" s="17"/>
      <c r="M86" s="17"/>
    </row>
    <row r="87" spans="1:13" ht="15.75" thickBot="1">
      <c r="A87" s="13"/>
      <c r="B87" s="149" t="s">
        <v>26</v>
      </c>
      <c r="C87" s="3">
        <v>87</v>
      </c>
      <c r="D87" s="20">
        <v>142</v>
      </c>
      <c r="E87" s="3">
        <f t="shared" si="4"/>
        <v>229</v>
      </c>
      <c r="F87" s="90"/>
      <c r="G87" s="13"/>
      <c r="H87" s="17"/>
      <c r="I87" s="17"/>
      <c r="J87" s="17"/>
      <c r="K87" s="17"/>
      <c r="L87" s="17"/>
      <c r="M87" s="17"/>
    </row>
    <row r="88" spans="1:13" ht="15.75" thickBot="1">
      <c r="A88" s="13"/>
      <c r="B88" s="151" t="s">
        <v>14</v>
      </c>
      <c r="C88" s="152">
        <f>SUM(C71:C87)</f>
        <v>5192</v>
      </c>
      <c r="D88" s="153">
        <f>SUM(D71:D87)</f>
        <v>6029</v>
      </c>
      <c r="E88" s="152">
        <f>SUM(E71:E87)</f>
        <v>11221</v>
      </c>
      <c r="F88" s="90"/>
      <c r="G88" s="13"/>
      <c r="H88" s="17"/>
      <c r="I88" s="17"/>
      <c r="J88" s="17"/>
      <c r="K88" s="17"/>
      <c r="L88" s="17"/>
      <c r="M88" s="17"/>
    </row>
    <row r="89" spans="1:13" ht="18" customHeight="1" thickBot="1">
      <c r="A89" s="13"/>
      <c r="B89" s="13"/>
      <c r="C89" s="13"/>
      <c r="D89" s="13"/>
      <c r="E89" s="87"/>
      <c r="F89" s="90"/>
      <c r="G89" s="13"/>
      <c r="H89" s="16"/>
      <c r="I89" s="16"/>
      <c r="J89" s="16"/>
      <c r="K89" s="16"/>
      <c r="L89" s="16"/>
      <c r="M89" s="16"/>
    </row>
    <row r="90" spans="2:13" s="92" customFormat="1" ht="26.25" customHeight="1" thickBot="1">
      <c r="B90" s="241" t="s">
        <v>45</v>
      </c>
      <c r="C90" s="243" t="s">
        <v>91</v>
      </c>
      <c r="D90" s="244"/>
      <c r="E90" s="245"/>
      <c r="F90" s="91"/>
      <c r="G90" s="241" t="s">
        <v>45</v>
      </c>
      <c r="H90" s="243" t="s">
        <v>91</v>
      </c>
      <c r="I90" s="244"/>
      <c r="J90" s="245"/>
      <c r="K90" s="93"/>
      <c r="L90" s="93"/>
      <c r="M90" s="93"/>
    </row>
    <row r="91" spans="2:13" ht="13.5" thickBot="1">
      <c r="B91" s="242"/>
      <c r="C91" s="146" t="s">
        <v>2</v>
      </c>
      <c r="D91" s="147" t="s">
        <v>3</v>
      </c>
      <c r="E91" s="148" t="s">
        <v>4</v>
      </c>
      <c r="F91" s="90"/>
      <c r="G91" s="242"/>
      <c r="H91" s="146" t="s">
        <v>2</v>
      </c>
      <c r="I91" s="147" t="s">
        <v>3</v>
      </c>
      <c r="J91" s="148" t="s">
        <v>4</v>
      </c>
      <c r="K91" s="16"/>
      <c r="L91" s="16"/>
      <c r="M91" s="16"/>
    </row>
    <row r="92" spans="2:13" ht="15">
      <c r="B92" s="149" t="s">
        <v>5</v>
      </c>
      <c r="C92" s="3">
        <f>646+1</f>
        <v>647</v>
      </c>
      <c r="D92" s="20">
        <f>733+1</f>
        <v>734</v>
      </c>
      <c r="E92" s="18">
        <f>SUM(C92:D92)</f>
        <v>1381</v>
      </c>
      <c r="F92" s="90"/>
      <c r="G92" s="154" t="s">
        <v>6</v>
      </c>
      <c r="H92" s="4">
        <f>SUM(C92:C93)</f>
        <v>1470</v>
      </c>
      <c r="I92" s="18">
        <f>SUM(D92:D93)</f>
        <v>1446</v>
      </c>
      <c r="J92" s="18">
        <f>SUM(H92:I92)</f>
        <v>2916</v>
      </c>
      <c r="K92" s="13"/>
      <c r="L92" s="13"/>
      <c r="M92" s="13"/>
    </row>
    <row r="93" spans="2:13" ht="15">
      <c r="B93" s="150" t="s">
        <v>7</v>
      </c>
      <c r="C93" s="3">
        <v>823</v>
      </c>
      <c r="D93" s="20">
        <v>712</v>
      </c>
      <c r="E93" s="3">
        <f aca="true" t="shared" si="5" ref="E93:E108">SUM(C93:D93)</f>
        <v>1535</v>
      </c>
      <c r="F93" s="90"/>
      <c r="G93" s="155" t="s">
        <v>8</v>
      </c>
      <c r="H93" s="4">
        <f>SUM(C94:C95)</f>
        <v>1603</v>
      </c>
      <c r="I93" s="3">
        <f>SUM(D94:D95)</f>
        <v>1666</v>
      </c>
      <c r="J93" s="3">
        <f>SUM(H93:I93)</f>
        <v>3269</v>
      </c>
      <c r="K93" s="16"/>
      <c r="L93" s="16"/>
      <c r="M93" s="16"/>
    </row>
    <row r="94" spans="2:13" ht="15">
      <c r="B94" s="149" t="s">
        <v>9</v>
      </c>
      <c r="C94" s="3">
        <v>740</v>
      </c>
      <c r="D94" s="20">
        <v>777</v>
      </c>
      <c r="E94" s="3">
        <f t="shared" si="5"/>
        <v>1517</v>
      </c>
      <c r="F94" s="90"/>
      <c r="G94" s="155" t="s">
        <v>10</v>
      </c>
      <c r="H94" s="4">
        <f>SUM(C96:C104)</f>
        <v>6113</v>
      </c>
      <c r="I94" s="3">
        <f>SUM(D96:D104)</f>
        <v>7109</v>
      </c>
      <c r="J94" s="3">
        <f>SUM(H94:I94)</f>
        <v>13222</v>
      </c>
      <c r="K94" s="16"/>
      <c r="L94" s="16"/>
      <c r="M94" s="16"/>
    </row>
    <row r="95" spans="2:13" ht="15.75" thickBot="1">
      <c r="B95" s="149" t="s">
        <v>11</v>
      </c>
      <c r="C95" s="3">
        <v>863</v>
      </c>
      <c r="D95" s="20">
        <v>889</v>
      </c>
      <c r="E95" s="3">
        <f t="shared" si="5"/>
        <v>1752</v>
      </c>
      <c r="F95" s="90"/>
      <c r="G95" s="155" t="s">
        <v>12</v>
      </c>
      <c r="H95" s="4">
        <f>SUM(C105:C108)</f>
        <v>924</v>
      </c>
      <c r="I95" s="3">
        <f>SUM(D105:D108)</f>
        <v>1348</v>
      </c>
      <c r="J95" s="3">
        <f>SUM(H95:I95)</f>
        <v>2272</v>
      </c>
      <c r="K95" s="16"/>
      <c r="L95" s="16"/>
      <c r="M95" s="16"/>
    </row>
    <row r="96" spans="2:13" ht="15.75" thickBot="1">
      <c r="B96" s="149" t="s">
        <v>13</v>
      </c>
      <c r="C96" s="3">
        <v>967</v>
      </c>
      <c r="D96" s="20">
        <v>917</v>
      </c>
      <c r="E96" s="3">
        <f t="shared" si="5"/>
        <v>1884</v>
      </c>
      <c r="F96" s="90"/>
      <c r="G96" s="156" t="s">
        <v>14</v>
      </c>
      <c r="H96" s="157">
        <f>SUM(H92:H95)</f>
        <v>10110</v>
      </c>
      <c r="I96" s="152">
        <f>SUM(I92:I95)</f>
        <v>11569</v>
      </c>
      <c r="J96" s="152">
        <f>SUM(J92:J95)</f>
        <v>21679</v>
      </c>
      <c r="L96" s="16"/>
      <c r="M96" s="16"/>
    </row>
    <row r="97" spans="2:13" ht="15.75" thickBot="1">
      <c r="B97" s="149" t="s">
        <v>15</v>
      </c>
      <c r="C97" s="3">
        <v>771</v>
      </c>
      <c r="D97" s="20">
        <v>860</v>
      </c>
      <c r="E97" s="3">
        <f t="shared" si="5"/>
        <v>1631</v>
      </c>
      <c r="F97" s="90"/>
      <c r="K97" s="84"/>
      <c r="L97" s="16"/>
      <c r="M97" s="16"/>
    </row>
    <row r="98" spans="2:13" ht="15">
      <c r="B98" s="149" t="s">
        <v>16</v>
      </c>
      <c r="C98" s="3">
        <v>656</v>
      </c>
      <c r="D98" s="20">
        <v>809</v>
      </c>
      <c r="E98" s="3">
        <f t="shared" si="5"/>
        <v>1465</v>
      </c>
      <c r="F98" s="90"/>
      <c r="G98" s="200" t="s">
        <v>61</v>
      </c>
      <c r="H98" s="158">
        <f>SUM(C96:C100)</f>
        <v>3690</v>
      </c>
      <c r="I98" s="213"/>
      <c r="J98" s="5"/>
      <c r="K98" s="16"/>
      <c r="L98" s="16"/>
      <c r="M98" s="16"/>
    </row>
    <row r="99" spans="2:13" ht="15">
      <c r="B99" s="149" t="s">
        <v>17</v>
      </c>
      <c r="C99" s="3">
        <v>604</v>
      </c>
      <c r="D99" s="20">
        <v>768</v>
      </c>
      <c r="E99" s="3">
        <f t="shared" si="5"/>
        <v>1372</v>
      </c>
      <c r="F99" s="90"/>
      <c r="G99" s="202" t="s">
        <v>62</v>
      </c>
      <c r="H99" s="199">
        <f>SUM(D101:D104)</f>
        <v>2900</v>
      </c>
      <c r="I99" s="213"/>
      <c r="J99" s="5"/>
      <c r="K99" s="13"/>
      <c r="L99" s="13"/>
      <c r="M99" s="13"/>
    </row>
    <row r="100" spans="2:13" ht="15">
      <c r="B100" s="149" t="s">
        <v>18</v>
      </c>
      <c r="C100" s="3">
        <v>692</v>
      </c>
      <c r="D100" s="20">
        <v>855</v>
      </c>
      <c r="E100" s="3">
        <f t="shared" si="5"/>
        <v>1547</v>
      </c>
      <c r="F100" s="90"/>
      <c r="G100" s="214" t="s">
        <v>65</v>
      </c>
      <c r="H100" s="215">
        <f>SUM(E92:E95)</f>
        <v>6185</v>
      </c>
      <c r="I100" s="213"/>
      <c r="J100" s="5"/>
      <c r="K100" s="13"/>
      <c r="L100" s="13"/>
      <c r="M100" s="13"/>
    </row>
    <row r="101" spans="2:13" ht="15">
      <c r="B101" s="149" t="s">
        <v>19</v>
      </c>
      <c r="C101" s="3">
        <v>710</v>
      </c>
      <c r="D101" s="20">
        <v>882</v>
      </c>
      <c r="E101" s="3">
        <f t="shared" si="5"/>
        <v>1592</v>
      </c>
      <c r="F101" s="90"/>
      <c r="G101" s="202" t="s">
        <v>59</v>
      </c>
      <c r="H101" s="199">
        <f>SUM(E105:E108)</f>
        <v>2272</v>
      </c>
      <c r="I101" s="213"/>
      <c r="J101" s="13"/>
      <c r="K101" s="13"/>
      <c r="L101" s="13"/>
      <c r="M101" s="13"/>
    </row>
    <row r="102" spans="2:13" ht="15">
      <c r="B102" s="149" t="s">
        <v>20</v>
      </c>
      <c r="C102" s="3">
        <v>666</v>
      </c>
      <c r="D102" s="20">
        <v>830</v>
      </c>
      <c r="E102" s="3">
        <f t="shared" si="5"/>
        <v>1496</v>
      </c>
      <c r="F102" s="90"/>
      <c r="G102" s="214" t="s">
        <v>57</v>
      </c>
      <c r="H102" s="215">
        <v>330</v>
      </c>
      <c r="I102" s="213"/>
      <c r="J102" s="13"/>
      <c r="K102" s="13"/>
      <c r="L102" s="13"/>
      <c r="M102" s="13"/>
    </row>
    <row r="103" spans="2:13" ht="15">
      <c r="B103" s="149" t="s">
        <v>21</v>
      </c>
      <c r="C103" s="3">
        <v>612</v>
      </c>
      <c r="D103" s="20">
        <v>668</v>
      </c>
      <c r="E103" s="3">
        <f t="shared" si="5"/>
        <v>1280</v>
      </c>
      <c r="F103" s="90"/>
      <c r="G103" s="202" t="s">
        <v>58</v>
      </c>
      <c r="H103" s="199">
        <v>293</v>
      </c>
      <c r="I103" s="213"/>
      <c r="J103" s="13"/>
      <c r="K103" s="13"/>
      <c r="L103" s="13"/>
      <c r="M103" s="13"/>
    </row>
    <row r="104" spans="2:13" ht="15.75" thickBot="1">
      <c r="B104" s="149" t="s">
        <v>22</v>
      </c>
      <c r="C104" s="3">
        <v>435</v>
      </c>
      <c r="D104" s="20">
        <v>520</v>
      </c>
      <c r="E104" s="3">
        <f t="shared" si="5"/>
        <v>955</v>
      </c>
      <c r="F104" s="90"/>
      <c r="G104" s="201" t="s">
        <v>64</v>
      </c>
      <c r="H104" s="159">
        <f>ROUND(E104/5,0)</f>
        <v>191</v>
      </c>
      <c r="I104" s="213"/>
      <c r="J104" s="16"/>
      <c r="K104" s="16"/>
      <c r="L104" s="16"/>
      <c r="M104" s="16"/>
    </row>
    <row r="105" spans="2:13" ht="15">
      <c r="B105" s="149" t="s">
        <v>23</v>
      </c>
      <c r="C105" s="3">
        <v>340</v>
      </c>
      <c r="D105" s="20">
        <v>451</v>
      </c>
      <c r="E105" s="3">
        <f t="shared" si="5"/>
        <v>791</v>
      </c>
      <c r="F105" s="90"/>
      <c r="G105" s="200" t="s">
        <v>104</v>
      </c>
      <c r="H105" s="158">
        <f>143+143+1</f>
        <v>287</v>
      </c>
      <c r="I105" s="13"/>
      <c r="J105" s="16"/>
      <c r="K105" s="16"/>
      <c r="L105" s="16"/>
      <c r="M105" s="16"/>
    </row>
    <row r="106" spans="2:13" ht="15.75" thickBot="1">
      <c r="B106" s="149" t="s">
        <v>24</v>
      </c>
      <c r="C106" s="3">
        <v>236</v>
      </c>
      <c r="D106" s="20">
        <v>329</v>
      </c>
      <c r="E106" s="3">
        <f t="shared" si="5"/>
        <v>565</v>
      </c>
      <c r="F106" s="90"/>
      <c r="G106" s="268" t="s">
        <v>105</v>
      </c>
      <c r="H106" s="198">
        <f>129+164+1</f>
        <v>294</v>
      </c>
      <c r="I106" s="13"/>
      <c r="J106" s="16"/>
      <c r="K106" s="16"/>
      <c r="L106" s="16"/>
      <c r="M106" s="16"/>
    </row>
    <row r="107" spans="2:13" ht="15">
      <c r="B107" s="149" t="s">
        <v>25</v>
      </c>
      <c r="C107" s="3">
        <v>175</v>
      </c>
      <c r="D107" s="20">
        <v>244</v>
      </c>
      <c r="E107" s="3">
        <f t="shared" si="5"/>
        <v>419</v>
      </c>
      <c r="F107" s="90"/>
      <c r="G107" s="13"/>
      <c r="H107" s="13"/>
      <c r="I107" s="13"/>
      <c r="J107" s="16"/>
      <c r="K107" s="16"/>
      <c r="L107" s="16"/>
      <c r="M107" s="16"/>
    </row>
    <row r="108" spans="2:13" ht="15.75" thickBot="1">
      <c r="B108" s="149" t="s">
        <v>26</v>
      </c>
      <c r="C108" s="3">
        <v>173</v>
      </c>
      <c r="D108" s="20">
        <v>324</v>
      </c>
      <c r="E108" s="3">
        <f t="shared" si="5"/>
        <v>497</v>
      </c>
      <c r="F108" s="90"/>
      <c r="G108" s="13"/>
      <c r="H108" s="13"/>
      <c r="I108" s="13"/>
      <c r="J108" s="16"/>
      <c r="K108" s="16"/>
      <c r="L108" s="16"/>
      <c r="M108" s="16"/>
    </row>
    <row r="109" spans="2:13" ht="15.75" thickBot="1">
      <c r="B109" s="151" t="s">
        <v>14</v>
      </c>
      <c r="C109" s="152">
        <f>SUM(C92:C108)</f>
        <v>10110</v>
      </c>
      <c r="D109" s="153">
        <f>SUM(D92:D108)</f>
        <v>11569</v>
      </c>
      <c r="E109" s="152">
        <f>SUM(E92:E108)</f>
        <v>21679</v>
      </c>
      <c r="F109" s="90"/>
      <c r="G109" s="13"/>
      <c r="H109" s="13"/>
      <c r="I109" s="13"/>
      <c r="J109" s="13"/>
      <c r="K109" s="13"/>
      <c r="L109" s="13"/>
      <c r="M109" s="13"/>
    </row>
    <row r="110" spans="2:13" ht="18.75" customHeight="1" thickBot="1">
      <c r="B110" s="13"/>
      <c r="C110" s="13"/>
      <c r="D110" s="13"/>
      <c r="E110" s="87"/>
      <c r="F110" s="90"/>
      <c r="G110" s="13"/>
      <c r="H110" s="13"/>
      <c r="I110" s="13"/>
      <c r="J110" s="13"/>
      <c r="K110" s="13"/>
      <c r="L110" s="13"/>
      <c r="M110" s="13"/>
    </row>
    <row r="111" spans="2:13" s="92" customFormat="1" ht="26.25" customHeight="1" thickBot="1">
      <c r="B111" s="241" t="s">
        <v>45</v>
      </c>
      <c r="C111" s="243" t="s">
        <v>92</v>
      </c>
      <c r="D111" s="244"/>
      <c r="E111" s="245"/>
      <c r="F111" s="91"/>
      <c r="G111" s="241" t="s">
        <v>45</v>
      </c>
      <c r="H111" s="243" t="s">
        <v>92</v>
      </c>
      <c r="I111" s="244"/>
      <c r="J111" s="245"/>
      <c r="K111" s="94"/>
      <c r="L111" s="94"/>
      <c r="M111" s="94"/>
    </row>
    <row r="112" spans="2:13" ht="13.5" thickBot="1">
      <c r="B112" s="242"/>
      <c r="C112" s="146" t="s">
        <v>2</v>
      </c>
      <c r="D112" s="147" t="s">
        <v>3</v>
      </c>
      <c r="E112" s="148" t="s">
        <v>4</v>
      </c>
      <c r="F112" s="90"/>
      <c r="G112" s="242"/>
      <c r="H112" s="146" t="s">
        <v>2</v>
      </c>
      <c r="I112" s="147" t="s">
        <v>3</v>
      </c>
      <c r="J112" s="148" t="s">
        <v>4</v>
      </c>
      <c r="K112" s="13"/>
      <c r="L112" s="13"/>
      <c r="M112" s="13"/>
    </row>
    <row r="113" spans="2:13" ht="15">
      <c r="B113" s="149" t="s">
        <v>5</v>
      </c>
      <c r="C113" s="3">
        <f>667+0</f>
        <v>667</v>
      </c>
      <c r="D113" s="20">
        <f>715+0</f>
        <v>715</v>
      </c>
      <c r="E113" s="18">
        <f aca="true" t="shared" si="6" ref="E113:E129">SUM(C113:D113)</f>
        <v>1382</v>
      </c>
      <c r="F113" s="90"/>
      <c r="G113" s="154" t="s">
        <v>6</v>
      </c>
      <c r="H113" s="4">
        <f>SUM(C113:C114)</f>
        <v>1386</v>
      </c>
      <c r="I113" s="18">
        <f>SUM(D113:D114)</f>
        <v>1402</v>
      </c>
      <c r="J113" s="18">
        <f>SUM(H113:I113)</f>
        <v>2788</v>
      </c>
      <c r="K113" s="13"/>
      <c r="L113" s="13"/>
      <c r="M113" s="13"/>
    </row>
    <row r="114" spans="2:13" ht="15">
      <c r="B114" s="150" t="s">
        <v>7</v>
      </c>
      <c r="C114" s="3">
        <v>719</v>
      </c>
      <c r="D114" s="20">
        <v>687</v>
      </c>
      <c r="E114" s="3">
        <f t="shared" si="6"/>
        <v>1406</v>
      </c>
      <c r="F114" s="90"/>
      <c r="G114" s="155" t="s">
        <v>8</v>
      </c>
      <c r="H114" s="4">
        <f>SUM(C115:C116)</f>
        <v>1449</v>
      </c>
      <c r="I114" s="3">
        <f>SUM(D115:D116)</f>
        <v>1441</v>
      </c>
      <c r="J114" s="3">
        <f>SUM(H114:I114)</f>
        <v>2890</v>
      </c>
      <c r="K114" s="13"/>
      <c r="L114" s="13"/>
      <c r="M114" s="13"/>
    </row>
    <row r="115" spans="2:13" ht="15">
      <c r="B115" s="149" t="s">
        <v>60</v>
      </c>
      <c r="C115" s="3">
        <v>678</v>
      </c>
      <c r="D115" s="20">
        <v>672</v>
      </c>
      <c r="E115" s="3">
        <f t="shared" si="6"/>
        <v>1350</v>
      </c>
      <c r="F115" s="90"/>
      <c r="G115" s="155" t="s">
        <v>10</v>
      </c>
      <c r="H115" s="4">
        <f>SUM(C117:C125)</f>
        <v>5103</v>
      </c>
      <c r="I115" s="3">
        <f>SUM(D117:D125)</f>
        <v>6450</v>
      </c>
      <c r="J115" s="3">
        <f>SUM(H115:I115)</f>
        <v>11553</v>
      </c>
      <c r="K115" s="16"/>
      <c r="L115" s="16"/>
      <c r="M115" s="16"/>
    </row>
    <row r="116" spans="2:13" ht="15.75" thickBot="1">
      <c r="B116" s="149" t="s">
        <v>11</v>
      </c>
      <c r="C116" s="3">
        <v>771</v>
      </c>
      <c r="D116" s="20">
        <v>769</v>
      </c>
      <c r="E116" s="3">
        <f t="shared" si="6"/>
        <v>1540</v>
      </c>
      <c r="F116" s="90"/>
      <c r="G116" s="155" t="s">
        <v>12</v>
      </c>
      <c r="H116" s="4">
        <f>SUM(C126:C129)</f>
        <v>960</v>
      </c>
      <c r="I116" s="3">
        <f>SUM(D126:D129)</f>
        <v>1506</v>
      </c>
      <c r="J116" s="3">
        <f>SUM(H116:I116)</f>
        <v>2466</v>
      </c>
      <c r="K116" s="16"/>
      <c r="L116" s="16"/>
      <c r="M116" s="16"/>
    </row>
    <row r="117" spans="2:13" ht="15.75" thickBot="1">
      <c r="B117" s="149" t="s">
        <v>13</v>
      </c>
      <c r="C117" s="3">
        <v>765</v>
      </c>
      <c r="D117" s="20">
        <v>914</v>
      </c>
      <c r="E117" s="3">
        <f t="shared" si="6"/>
        <v>1679</v>
      </c>
      <c r="F117" s="90"/>
      <c r="G117" s="156" t="s">
        <v>14</v>
      </c>
      <c r="H117" s="157">
        <f>SUM(H113:H116)</f>
        <v>8898</v>
      </c>
      <c r="I117" s="153">
        <f>SUM(I113:I116)</f>
        <v>10799</v>
      </c>
      <c r="J117" s="152">
        <f>SUM(J113:J116)</f>
        <v>19697</v>
      </c>
      <c r="L117" s="16"/>
      <c r="M117" s="16"/>
    </row>
    <row r="118" spans="2:13" ht="15.75" thickBot="1">
      <c r="B118" s="149" t="s">
        <v>15</v>
      </c>
      <c r="C118" s="3">
        <v>649</v>
      </c>
      <c r="D118" s="20">
        <v>781</v>
      </c>
      <c r="E118" s="3">
        <f t="shared" si="6"/>
        <v>1430</v>
      </c>
      <c r="F118" s="90"/>
      <c r="K118" s="84"/>
      <c r="L118" s="16"/>
      <c r="M118" s="16"/>
    </row>
    <row r="119" spans="2:13" ht="15">
      <c r="B119" s="149" t="s">
        <v>16</v>
      </c>
      <c r="C119" s="3">
        <v>577</v>
      </c>
      <c r="D119" s="20">
        <v>799</v>
      </c>
      <c r="E119" s="3">
        <f t="shared" si="6"/>
        <v>1376</v>
      </c>
      <c r="F119" s="90"/>
      <c r="G119" s="200" t="s">
        <v>61</v>
      </c>
      <c r="H119" s="158">
        <f>SUM(C117:C121)</f>
        <v>3073</v>
      </c>
      <c r="I119" s="213"/>
      <c r="J119" s="5"/>
      <c r="K119" s="16"/>
      <c r="L119" s="16"/>
      <c r="M119" s="16"/>
    </row>
    <row r="120" spans="2:13" ht="15">
      <c r="B120" s="149" t="s">
        <v>17</v>
      </c>
      <c r="C120" s="3">
        <v>528</v>
      </c>
      <c r="D120" s="20">
        <v>749</v>
      </c>
      <c r="E120" s="3">
        <f t="shared" si="6"/>
        <v>1277</v>
      </c>
      <c r="F120" s="90"/>
      <c r="G120" s="202" t="s">
        <v>62</v>
      </c>
      <c r="H120" s="199">
        <f>SUM(D122:D125)</f>
        <v>2475</v>
      </c>
      <c r="I120" s="213"/>
      <c r="J120" s="5"/>
      <c r="K120" s="13"/>
      <c r="L120" s="13"/>
      <c r="M120" s="13"/>
    </row>
    <row r="121" spans="2:13" ht="15">
      <c r="B121" s="149" t="s">
        <v>18</v>
      </c>
      <c r="C121" s="3">
        <v>554</v>
      </c>
      <c r="D121" s="20">
        <v>732</v>
      </c>
      <c r="E121" s="3">
        <f t="shared" si="6"/>
        <v>1286</v>
      </c>
      <c r="F121" s="90"/>
      <c r="G121" s="214" t="s">
        <v>65</v>
      </c>
      <c r="H121" s="215">
        <f>SUM(E113:E116)</f>
        <v>5678</v>
      </c>
      <c r="I121" s="213"/>
      <c r="J121" s="5"/>
      <c r="K121" s="13"/>
      <c r="L121" s="13"/>
      <c r="M121" s="13"/>
    </row>
    <row r="122" spans="2:13" ht="15">
      <c r="B122" s="149" t="s">
        <v>19</v>
      </c>
      <c r="C122" s="3">
        <v>608</v>
      </c>
      <c r="D122" s="20">
        <v>708</v>
      </c>
      <c r="E122" s="3">
        <f t="shared" si="6"/>
        <v>1316</v>
      </c>
      <c r="F122" s="90"/>
      <c r="G122" s="202" t="s">
        <v>59</v>
      </c>
      <c r="H122" s="199">
        <f>SUM(E126:E129)</f>
        <v>2466</v>
      </c>
      <c r="I122" s="213"/>
      <c r="J122" s="13"/>
      <c r="K122" s="13"/>
      <c r="L122" s="13"/>
      <c r="M122" s="13"/>
    </row>
    <row r="123" spans="2:13" ht="15">
      <c r="B123" s="149" t="s">
        <v>20</v>
      </c>
      <c r="C123" s="3">
        <v>599</v>
      </c>
      <c r="D123" s="20">
        <v>687</v>
      </c>
      <c r="E123" s="3">
        <f t="shared" si="6"/>
        <v>1286</v>
      </c>
      <c r="F123" s="90"/>
      <c r="G123" s="214" t="s">
        <v>57</v>
      </c>
      <c r="H123" s="215">
        <v>291</v>
      </c>
      <c r="I123" s="213"/>
      <c r="J123" s="13"/>
      <c r="K123" s="13"/>
      <c r="L123" s="13"/>
      <c r="M123" s="13"/>
    </row>
    <row r="124" spans="2:13" ht="15">
      <c r="B124" s="149" t="s">
        <v>21</v>
      </c>
      <c r="C124" s="3">
        <v>467</v>
      </c>
      <c r="D124" s="20">
        <v>616</v>
      </c>
      <c r="E124" s="3">
        <f t="shared" si="6"/>
        <v>1083</v>
      </c>
      <c r="F124" s="90"/>
      <c r="G124" s="202" t="s">
        <v>58</v>
      </c>
      <c r="H124" s="199">
        <v>274</v>
      </c>
      <c r="I124" s="213"/>
      <c r="J124" s="13"/>
      <c r="K124" s="13"/>
      <c r="L124" s="13"/>
      <c r="M124" s="13"/>
    </row>
    <row r="125" spans="2:13" ht="15.75" thickBot="1">
      <c r="B125" s="149" t="s">
        <v>22</v>
      </c>
      <c r="C125" s="3">
        <v>356</v>
      </c>
      <c r="D125" s="20">
        <v>464</v>
      </c>
      <c r="E125" s="3">
        <f t="shared" si="6"/>
        <v>820</v>
      </c>
      <c r="F125" s="90"/>
      <c r="G125" s="201" t="s">
        <v>64</v>
      </c>
      <c r="H125" s="159">
        <f>ROUND(E125/5,0)</f>
        <v>164</v>
      </c>
      <c r="I125" s="213"/>
      <c r="J125" s="16"/>
      <c r="K125" s="16"/>
      <c r="L125" s="16"/>
      <c r="M125" s="16"/>
    </row>
    <row r="126" spans="2:13" ht="15">
      <c r="B126" s="149" t="s">
        <v>23</v>
      </c>
      <c r="C126" s="3">
        <v>296</v>
      </c>
      <c r="D126" s="20">
        <v>437</v>
      </c>
      <c r="E126" s="3">
        <f t="shared" si="6"/>
        <v>733</v>
      </c>
      <c r="F126" s="90"/>
      <c r="G126" s="200" t="s">
        <v>104</v>
      </c>
      <c r="H126" s="158">
        <f>147+142</f>
        <v>289</v>
      </c>
      <c r="I126" s="13"/>
      <c r="J126" s="16"/>
      <c r="K126" s="16"/>
      <c r="L126" s="16"/>
      <c r="M126" s="16"/>
    </row>
    <row r="127" spans="2:13" ht="15.75" thickBot="1">
      <c r="B127" s="149" t="s">
        <v>24</v>
      </c>
      <c r="C127" s="3">
        <v>241</v>
      </c>
      <c r="D127" s="20">
        <v>346</v>
      </c>
      <c r="E127" s="3">
        <f t="shared" si="6"/>
        <v>587</v>
      </c>
      <c r="F127" s="90"/>
      <c r="G127" s="268" t="s">
        <v>105</v>
      </c>
      <c r="H127" s="198">
        <f>145+125</f>
        <v>270</v>
      </c>
      <c r="I127" s="13"/>
      <c r="J127" s="16"/>
      <c r="K127" s="16"/>
      <c r="L127" s="16"/>
      <c r="M127" s="16"/>
    </row>
    <row r="128" spans="2:13" ht="15">
      <c r="B128" s="149" t="s">
        <v>25</v>
      </c>
      <c r="C128" s="3">
        <v>197</v>
      </c>
      <c r="D128" s="20">
        <v>274</v>
      </c>
      <c r="E128" s="3">
        <f t="shared" si="6"/>
        <v>471</v>
      </c>
      <c r="F128" s="90"/>
      <c r="G128" s="13"/>
      <c r="H128" s="13"/>
      <c r="I128" s="13"/>
      <c r="J128" s="16"/>
      <c r="K128" s="16"/>
      <c r="L128" s="16"/>
      <c r="M128" s="16"/>
    </row>
    <row r="129" spans="2:13" ht="15.75" thickBot="1">
      <c r="B129" s="149" t="s">
        <v>26</v>
      </c>
      <c r="C129" s="3">
        <v>226</v>
      </c>
      <c r="D129" s="20">
        <v>449</v>
      </c>
      <c r="E129" s="3">
        <f t="shared" si="6"/>
        <v>675</v>
      </c>
      <c r="F129" s="90"/>
      <c r="G129" s="13"/>
      <c r="H129" s="13"/>
      <c r="I129" s="13"/>
      <c r="J129" s="16"/>
      <c r="K129" s="16"/>
      <c r="L129" s="16"/>
      <c r="M129" s="16"/>
    </row>
    <row r="130" spans="2:13" ht="15.75" thickBot="1">
      <c r="B130" s="151" t="s">
        <v>14</v>
      </c>
      <c r="C130" s="152">
        <f>SUM(C113:C129)</f>
        <v>8898</v>
      </c>
      <c r="D130" s="153">
        <f>SUM(D113:D129)</f>
        <v>10799</v>
      </c>
      <c r="E130" s="152">
        <f>SUM(E113:E129)</f>
        <v>19697</v>
      </c>
      <c r="F130" s="90"/>
      <c r="G130" s="13"/>
      <c r="H130" s="13"/>
      <c r="I130" s="13"/>
      <c r="J130" s="13"/>
      <c r="K130" s="13"/>
      <c r="L130" s="13"/>
      <c r="M130" s="13"/>
    </row>
    <row r="131" spans="5:13" ht="19.5" customHeight="1" thickBot="1">
      <c r="E131" s="87"/>
      <c r="F131" s="90"/>
      <c r="G131" s="13"/>
      <c r="H131" s="13"/>
      <c r="I131" s="13"/>
      <c r="J131" s="13"/>
      <c r="K131" s="13"/>
      <c r="L131" s="13"/>
      <c r="M131" s="13"/>
    </row>
    <row r="132" spans="2:13" ht="26.25" customHeight="1" thickBot="1">
      <c r="B132" s="241" t="s">
        <v>45</v>
      </c>
      <c r="C132" s="243" t="s">
        <v>93</v>
      </c>
      <c r="D132" s="244"/>
      <c r="E132" s="245"/>
      <c r="F132" s="90"/>
      <c r="G132" s="241" t="s">
        <v>45</v>
      </c>
      <c r="H132" s="243" t="s">
        <v>93</v>
      </c>
      <c r="I132" s="246"/>
      <c r="J132" s="247"/>
      <c r="K132" s="13"/>
      <c r="L132" s="13"/>
      <c r="M132" s="13"/>
    </row>
    <row r="133" spans="2:13" ht="13.5" thickBot="1">
      <c r="B133" s="242"/>
      <c r="C133" s="146" t="s">
        <v>2</v>
      </c>
      <c r="D133" s="147" t="s">
        <v>3</v>
      </c>
      <c r="E133" s="148" t="s">
        <v>4</v>
      </c>
      <c r="F133" s="90"/>
      <c r="G133" s="242"/>
      <c r="H133" s="146" t="s">
        <v>2</v>
      </c>
      <c r="I133" s="147" t="s">
        <v>3</v>
      </c>
      <c r="J133" s="148" t="s">
        <v>4</v>
      </c>
      <c r="K133" s="13"/>
      <c r="L133" s="13"/>
      <c r="M133" s="13"/>
    </row>
    <row r="134" spans="2:13" ht="15">
      <c r="B134" s="149" t="s">
        <v>5</v>
      </c>
      <c r="C134" s="3">
        <f>1185+0</f>
        <v>1185</v>
      </c>
      <c r="D134" s="20">
        <f>1172+0</f>
        <v>1172</v>
      </c>
      <c r="E134" s="18">
        <f>SUM(C134:D134)</f>
        <v>2357</v>
      </c>
      <c r="F134" s="90"/>
      <c r="G134" s="154" t="s">
        <v>6</v>
      </c>
      <c r="H134" s="4">
        <f>SUM(C134:C135)</f>
        <v>2359</v>
      </c>
      <c r="I134" s="18">
        <f>SUM(D134:D135)</f>
        <v>2273</v>
      </c>
      <c r="J134" s="18">
        <f>SUM(H134:I134)</f>
        <v>4632</v>
      </c>
      <c r="K134" s="13"/>
      <c r="L134" s="13"/>
      <c r="M134" s="13"/>
    </row>
    <row r="135" spans="2:13" ht="15">
      <c r="B135" s="150" t="s">
        <v>7</v>
      </c>
      <c r="C135" s="3">
        <v>1174</v>
      </c>
      <c r="D135" s="20">
        <v>1101</v>
      </c>
      <c r="E135" s="3">
        <f aca="true" t="shared" si="7" ref="E135:E150">SUM(C135:D135)</f>
        <v>2275</v>
      </c>
      <c r="F135" s="90"/>
      <c r="G135" s="155" t="s">
        <v>8</v>
      </c>
      <c r="H135" s="4">
        <f>SUM(C136:C137)</f>
        <v>2114</v>
      </c>
      <c r="I135" s="3">
        <f>SUM(D136:D137)</f>
        <v>2095</v>
      </c>
      <c r="J135" s="3">
        <f>SUM(H135:I135)</f>
        <v>4209</v>
      </c>
      <c r="K135" s="13"/>
      <c r="L135" s="13"/>
      <c r="M135" s="13"/>
    </row>
    <row r="136" spans="2:13" ht="15">
      <c r="B136" s="149" t="s">
        <v>60</v>
      </c>
      <c r="C136" s="3">
        <v>1043</v>
      </c>
      <c r="D136" s="20">
        <v>1021</v>
      </c>
      <c r="E136" s="3">
        <f t="shared" si="7"/>
        <v>2064</v>
      </c>
      <c r="F136" s="90"/>
      <c r="G136" s="155" t="s">
        <v>10</v>
      </c>
      <c r="H136" s="4">
        <f>SUM(C138:C146)</f>
        <v>6446</v>
      </c>
      <c r="I136" s="3">
        <f>SUM(D138:D146)</f>
        <v>7825</v>
      </c>
      <c r="J136" s="3">
        <f>SUM(H136:I136)</f>
        <v>14271</v>
      </c>
      <c r="K136" s="13"/>
      <c r="L136" s="13"/>
      <c r="M136" s="13"/>
    </row>
    <row r="137" spans="2:13" ht="15.75" thickBot="1">
      <c r="B137" s="149" t="s">
        <v>11</v>
      </c>
      <c r="C137" s="3">
        <v>1071</v>
      </c>
      <c r="D137" s="20">
        <v>1074</v>
      </c>
      <c r="E137" s="3">
        <f t="shared" si="7"/>
        <v>2145</v>
      </c>
      <c r="F137" s="90"/>
      <c r="G137" s="155" t="s">
        <v>12</v>
      </c>
      <c r="H137" s="4">
        <f>SUM(C147:C150)</f>
        <v>711</v>
      </c>
      <c r="I137" s="3">
        <f>SUM(D147:D150)</f>
        <v>962</v>
      </c>
      <c r="J137" s="3">
        <f>SUM(H137:I137)</f>
        <v>1673</v>
      </c>
      <c r="K137" s="13"/>
      <c r="L137" s="13"/>
      <c r="M137" s="13"/>
    </row>
    <row r="138" spans="2:13" ht="15.75" thickBot="1">
      <c r="B138" s="149" t="s">
        <v>13</v>
      </c>
      <c r="C138" s="3">
        <v>967</v>
      </c>
      <c r="D138" s="20">
        <v>1159</v>
      </c>
      <c r="E138" s="3">
        <f t="shared" si="7"/>
        <v>2126</v>
      </c>
      <c r="F138" s="90"/>
      <c r="G138" s="156" t="s">
        <v>14</v>
      </c>
      <c r="H138" s="157">
        <f>SUM(H134:H137)</f>
        <v>11630</v>
      </c>
      <c r="I138" s="153">
        <f>SUM(I134:I137)</f>
        <v>13155</v>
      </c>
      <c r="J138" s="152">
        <f>SUM(J134:J137)</f>
        <v>24785</v>
      </c>
      <c r="L138" s="13"/>
      <c r="M138" s="13"/>
    </row>
    <row r="139" spans="2:13" ht="15.75" thickBot="1">
      <c r="B139" s="149" t="s">
        <v>15</v>
      </c>
      <c r="C139" s="3">
        <v>837</v>
      </c>
      <c r="D139" s="20">
        <v>1080</v>
      </c>
      <c r="E139" s="3">
        <f t="shared" si="7"/>
        <v>1917</v>
      </c>
      <c r="F139" s="90"/>
      <c r="K139" s="84"/>
      <c r="L139" s="13"/>
      <c r="M139" s="13"/>
    </row>
    <row r="140" spans="2:13" ht="15">
      <c r="B140" s="149" t="s">
        <v>16</v>
      </c>
      <c r="C140" s="3">
        <v>836</v>
      </c>
      <c r="D140" s="20">
        <v>1056</v>
      </c>
      <c r="E140" s="3">
        <f t="shared" si="7"/>
        <v>1892</v>
      </c>
      <c r="F140" s="90"/>
      <c r="G140" s="200" t="s">
        <v>61</v>
      </c>
      <c r="H140" s="158">
        <f>SUM(C138:C142)</f>
        <v>4218</v>
      </c>
      <c r="I140" s="213"/>
      <c r="J140" s="5"/>
      <c r="K140" s="13"/>
      <c r="L140" s="13"/>
      <c r="M140" s="13"/>
    </row>
    <row r="141" spans="2:13" ht="15">
      <c r="B141" s="149" t="s">
        <v>17</v>
      </c>
      <c r="C141" s="3">
        <v>783</v>
      </c>
      <c r="D141" s="20">
        <v>1040</v>
      </c>
      <c r="E141" s="3">
        <f t="shared" si="7"/>
        <v>1823</v>
      </c>
      <c r="F141" s="90"/>
      <c r="G141" s="202" t="s">
        <v>62</v>
      </c>
      <c r="H141" s="199">
        <f>SUM(D143:D146)</f>
        <v>2516</v>
      </c>
      <c r="I141" s="213"/>
      <c r="J141" s="5"/>
      <c r="K141" s="13"/>
      <c r="L141" s="13"/>
      <c r="M141" s="13"/>
    </row>
    <row r="142" spans="2:13" ht="15">
      <c r="B142" s="149" t="s">
        <v>18</v>
      </c>
      <c r="C142" s="3">
        <v>795</v>
      </c>
      <c r="D142" s="20">
        <v>974</v>
      </c>
      <c r="E142" s="3">
        <f t="shared" si="7"/>
        <v>1769</v>
      </c>
      <c r="F142" s="90"/>
      <c r="G142" s="214" t="s">
        <v>65</v>
      </c>
      <c r="H142" s="215">
        <f>SUM(E134:E137)</f>
        <v>8841</v>
      </c>
      <c r="I142" s="213"/>
      <c r="J142" s="5"/>
      <c r="K142" s="13"/>
      <c r="L142" s="13"/>
      <c r="M142" s="13"/>
    </row>
    <row r="143" spans="2:13" ht="15">
      <c r="B143" s="149" t="s">
        <v>19</v>
      </c>
      <c r="C143" s="3">
        <v>789</v>
      </c>
      <c r="D143" s="20">
        <v>908</v>
      </c>
      <c r="E143" s="3">
        <f t="shared" si="7"/>
        <v>1697</v>
      </c>
      <c r="F143" s="90"/>
      <c r="G143" s="202" t="s">
        <v>59</v>
      </c>
      <c r="H143" s="199">
        <f>SUM(E147:E150)</f>
        <v>1673</v>
      </c>
      <c r="I143" s="213"/>
      <c r="J143" s="13"/>
      <c r="K143" s="13"/>
      <c r="L143" s="13"/>
      <c r="M143" s="13"/>
    </row>
    <row r="144" spans="2:13" ht="15">
      <c r="B144" s="149" t="s">
        <v>20</v>
      </c>
      <c r="C144" s="3">
        <v>630</v>
      </c>
      <c r="D144" s="20">
        <v>684</v>
      </c>
      <c r="E144" s="3">
        <f t="shared" si="7"/>
        <v>1314</v>
      </c>
      <c r="F144" s="90"/>
      <c r="G144" s="214" t="s">
        <v>57</v>
      </c>
      <c r="H144" s="215">
        <v>469</v>
      </c>
      <c r="I144" s="213"/>
      <c r="J144" s="13"/>
      <c r="K144" s="13"/>
      <c r="L144" s="13"/>
      <c r="M144" s="13"/>
    </row>
    <row r="145" spans="2:13" ht="15">
      <c r="B145" s="149" t="s">
        <v>21</v>
      </c>
      <c r="C145" s="3">
        <v>464</v>
      </c>
      <c r="D145" s="20">
        <v>535</v>
      </c>
      <c r="E145" s="3">
        <f t="shared" si="7"/>
        <v>999</v>
      </c>
      <c r="F145" s="90"/>
      <c r="G145" s="202" t="s">
        <v>58</v>
      </c>
      <c r="H145" s="199">
        <v>435</v>
      </c>
      <c r="I145" s="213"/>
      <c r="J145" s="13"/>
      <c r="K145" s="13"/>
      <c r="L145" s="13"/>
      <c r="M145" s="13"/>
    </row>
    <row r="146" spans="2:13" ht="15.75" thickBot="1">
      <c r="B146" s="149" t="s">
        <v>22</v>
      </c>
      <c r="C146" s="3">
        <v>345</v>
      </c>
      <c r="D146" s="20">
        <v>389</v>
      </c>
      <c r="E146" s="3">
        <f t="shared" si="7"/>
        <v>734</v>
      </c>
      <c r="F146" s="90"/>
      <c r="G146" s="201" t="s">
        <v>64</v>
      </c>
      <c r="H146" s="159">
        <f>ROUND(E146/5,0)</f>
        <v>147</v>
      </c>
      <c r="I146" s="213"/>
      <c r="J146" s="13"/>
      <c r="K146" s="13"/>
      <c r="L146" s="13"/>
      <c r="M146" s="13"/>
    </row>
    <row r="147" spans="2:13" ht="15">
      <c r="B147" s="149" t="s">
        <v>23</v>
      </c>
      <c r="C147" s="3">
        <v>245</v>
      </c>
      <c r="D147" s="20">
        <v>338</v>
      </c>
      <c r="E147" s="3">
        <f t="shared" si="7"/>
        <v>583</v>
      </c>
      <c r="F147" s="90"/>
      <c r="G147" s="200" t="s">
        <v>104</v>
      </c>
      <c r="H147" s="158">
        <f>238+246</f>
        <v>484</v>
      </c>
      <c r="I147" s="13"/>
      <c r="J147" s="13"/>
      <c r="K147" s="13"/>
      <c r="L147" s="13"/>
      <c r="M147" s="13"/>
    </row>
    <row r="148" spans="2:13" ht="15.75" thickBot="1">
      <c r="B148" s="149" t="s">
        <v>24</v>
      </c>
      <c r="C148" s="3">
        <v>216</v>
      </c>
      <c r="D148" s="20">
        <v>241</v>
      </c>
      <c r="E148" s="3">
        <f t="shared" si="7"/>
        <v>457</v>
      </c>
      <c r="F148" s="90"/>
      <c r="G148" s="268" t="s">
        <v>105</v>
      </c>
      <c r="H148" s="198">
        <f>241+235</f>
        <v>476</v>
      </c>
      <c r="I148" s="13"/>
      <c r="J148" s="13"/>
      <c r="K148" s="13"/>
      <c r="L148" s="13"/>
      <c r="M148" s="13"/>
    </row>
    <row r="149" spans="2:13" ht="15">
      <c r="B149" s="149" t="s">
        <v>25</v>
      </c>
      <c r="C149" s="3">
        <v>116</v>
      </c>
      <c r="D149" s="20">
        <v>177</v>
      </c>
      <c r="E149" s="3">
        <f t="shared" si="7"/>
        <v>293</v>
      </c>
      <c r="F149" s="90"/>
      <c r="G149" s="13"/>
      <c r="H149" s="13"/>
      <c r="I149" s="13"/>
      <c r="J149" s="13"/>
      <c r="K149" s="13"/>
      <c r="L149" s="13"/>
      <c r="M149" s="13"/>
    </row>
    <row r="150" spans="2:13" ht="15.75" thickBot="1">
      <c r="B150" s="149" t="s">
        <v>26</v>
      </c>
      <c r="C150" s="3">
        <v>134</v>
      </c>
      <c r="D150" s="20">
        <v>206</v>
      </c>
      <c r="E150" s="3">
        <f t="shared" si="7"/>
        <v>340</v>
      </c>
      <c r="F150" s="90"/>
      <c r="G150" s="13"/>
      <c r="H150" s="13"/>
      <c r="I150" s="13"/>
      <c r="J150" s="13"/>
      <c r="K150" s="13"/>
      <c r="L150" s="13"/>
      <c r="M150" s="13"/>
    </row>
    <row r="151" spans="2:13" ht="15.75" thickBot="1">
      <c r="B151" s="151" t="s">
        <v>14</v>
      </c>
      <c r="C151" s="152">
        <f>SUM(C134:C150)</f>
        <v>11630</v>
      </c>
      <c r="D151" s="153">
        <f>SUM(D134:D150)</f>
        <v>13155</v>
      </c>
      <c r="E151" s="152">
        <f>SUM(E134:E150)</f>
        <v>24785</v>
      </c>
      <c r="F151" s="90"/>
      <c r="G151" s="13"/>
      <c r="H151" s="13"/>
      <c r="I151" s="13"/>
      <c r="J151" s="13"/>
      <c r="K151" s="13"/>
      <c r="L151" s="13"/>
      <c r="M151" s="13"/>
    </row>
    <row r="152" spans="5:13" ht="15.75" thickBot="1">
      <c r="E152" s="87"/>
      <c r="F152" s="90"/>
      <c r="G152" s="13"/>
      <c r="H152" s="13"/>
      <c r="I152" s="13"/>
      <c r="J152" s="13"/>
      <c r="K152" s="13"/>
      <c r="L152" s="13"/>
      <c r="M152" s="13"/>
    </row>
    <row r="153" spans="2:13" ht="26.25" customHeight="1" thickBot="1">
      <c r="B153" s="241" t="s">
        <v>45</v>
      </c>
      <c r="C153" s="243" t="s">
        <v>94</v>
      </c>
      <c r="D153" s="244"/>
      <c r="E153" s="245"/>
      <c r="F153" s="90"/>
      <c r="G153" s="241" t="s">
        <v>45</v>
      </c>
      <c r="H153" s="243" t="s">
        <v>94</v>
      </c>
      <c r="I153" s="244"/>
      <c r="J153" s="245"/>
      <c r="K153" s="13"/>
      <c r="L153" s="13"/>
      <c r="M153" s="13"/>
    </row>
    <row r="154" spans="2:13" ht="13.5" thickBot="1">
      <c r="B154" s="242"/>
      <c r="C154" s="146" t="s">
        <v>2</v>
      </c>
      <c r="D154" s="147" t="s">
        <v>3</v>
      </c>
      <c r="E154" s="148" t="s">
        <v>4</v>
      </c>
      <c r="F154" s="90"/>
      <c r="G154" s="242"/>
      <c r="H154" s="146" t="s">
        <v>2</v>
      </c>
      <c r="I154" s="147" t="s">
        <v>3</v>
      </c>
      <c r="J154" s="148" t="s">
        <v>4</v>
      </c>
      <c r="K154" s="13"/>
      <c r="L154" s="13"/>
      <c r="M154" s="13"/>
    </row>
    <row r="155" spans="2:13" ht="15">
      <c r="B155" s="149" t="s">
        <v>5</v>
      </c>
      <c r="C155" s="3">
        <f>11+0</f>
        <v>11</v>
      </c>
      <c r="D155" s="20">
        <f>10+0</f>
        <v>10</v>
      </c>
      <c r="E155" s="18">
        <f aca="true" t="shared" si="8" ref="E155:E171">SUM(C155:D155)</f>
        <v>21</v>
      </c>
      <c r="F155" s="90"/>
      <c r="G155" s="154" t="s">
        <v>6</v>
      </c>
      <c r="H155" s="4">
        <f>SUM(C155:C156)</f>
        <v>34</v>
      </c>
      <c r="I155" s="18">
        <f>SUM(D155:D156)</f>
        <v>37</v>
      </c>
      <c r="J155" s="18">
        <f>SUM(H155:I155)</f>
        <v>71</v>
      </c>
      <c r="K155" s="13"/>
      <c r="L155" s="13"/>
      <c r="M155" s="13"/>
    </row>
    <row r="156" spans="2:13" ht="15">
      <c r="B156" s="150" t="s">
        <v>7</v>
      </c>
      <c r="C156" s="3">
        <v>23</v>
      </c>
      <c r="D156" s="20">
        <v>27</v>
      </c>
      <c r="E156" s="3">
        <f t="shared" si="8"/>
        <v>50</v>
      </c>
      <c r="F156" s="90"/>
      <c r="G156" s="155" t="s">
        <v>8</v>
      </c>
      <c r="H156" s="4">
        <f>SUM(C157:C158)</f>
        <v>103</v>
      </c>
      <c r="I156" s="3">
        <f>SUM(D157:D158)</f>
        <v>79</v>
      </c>
      <c r="J156" s="3">
        <f>SUM(H156:I156)</f>
        <v>182</v>
      </c>
      <c r="K156" s="13"/>
      <c r="L156" s="13"/>
      <c r="M156" s="13"/>
    </row>
    <row r="157" spans="2:13" ht="15">
      <c r="B157" s="149" t="s">
        <v>60</v>
      </c>
      <c r="C157" s="3">
        <v>50</v>
      </c>
      <c r="D157" s="20">
        <v>27</v>
      </c>
      <c r="E157" s="3">
        <f t="shared" si="8"/>
        <v>77</v>
      </c>
      <c r="F157" s="90"/>
      <c r="G157" s="155" t="s">
        <v>10</v>
      </c>
      <c r="H157" s="4">
        <f>SUM(C159:C167)</f>
        <v>402</v>
      </c>
      <c r="I157" s="3">
        <f>SUM(D159:D167)</f>
        <v>374</v>
      </c>
      <c r="J157" s="3">
        <f>SUM(H157:I157)</f>
        <v>776</v>
      </c>
      <c r="K157" s="13"/>
      <c r="L157" s="13"/>
      <c r="M157" s="13"/>
    </row>
    <row r="158" spans="2:13" ht="15.75" thickBot="1">
      <c r="B158" s="149" t="s">
        <v>11</v>
      </c>
      <c r="C158" s="3">
        <v>53</v>
      </c>
      <c r="D158" s="20">
        <v>52</v>
      </c>
      <c r="E158" s="3">
        <f t="shared" si="8"/>
        <v>105</v>
      </c>
      <c r="F158" s="90"/>
      <c r="G158" s="155" t="s">
        <v>12</v>
      </c>
      <c r="H158" s="4">
        <f>SUM(C168:C171)</f>
        <v>84</v>
      </c>
      <c r="I158" s="3">
        <f>SUM(D168:D171)</f>
        <v>103</v>
      </c>
      <c r="J158" s="3">
        <f>SUM(H158:I158)</f>
        <v>187</v>
      </c>
      <c r="K158" s="16"/>
      <c r="L158" s="16"/>
      <c r="M158" s="16"/>
    </row>
    <row r="159" spans="2:13" ht="15.75" thickBot="1">
      <c r="B159" s="149" t="s">
        <v>13</v>
      </c>
      <c r="C159" s="3">
        <v>57</v>
      </c>
      <c r="D159" s="20">
        <v>45</v>
      </c>
      <c r="E159" s="3">
        <f t="shared" si="8"/>
        <v>102</v>
      </c>
      <c r="F159" s="90"/>
      <c r="G159" s="156" t="s">
        <v>14</v>
      </c>
      <c r="H159" s="153">
        <f>SUM(H155:H158)</f>
        <v>623</v>
      </c>
      <c r="I159" s="152">
        <f>SUM(I155:I158)</f>
        <v>593</v>
      </c>
      <c r="J159" s="161">
        <f>SUM(J155:J158)</f>
        <v>1216</v>
      </c>
      <c r="L159" s="16"/>
      <c r="M159" s="16"/>
    </row>
    <row r="160" spans="2:13" ht="15.75" thickBot="1">
      <c r="B160" s="149" t="s">
        <v>15</v>
      </c>
      <c r="C160" s="3">
        <v>35</v>
      </c>
      <c r="D160" s="20">
        <v>37</v>
      </c>
      <c r="E160" s="3">
        <f t="shared" si="8"/>
        <v>72</v>
      </c>
      <c r="F160" s="90"/>
      <c r="K160" s="84"/>
      <c r="L160" s="16"/>
      <c r="M160" s="16"/>
    </row>
    <row r="161" spans="2:13" ht="15">
      <c r="B161" s="149" t="s">
        <v>16</v>
      </c>
      <c r="C161" s="3">
        <v>37</v>
      </c>
      <c r="D161" s="20">
        <v>30</v>
      </c>
      <c r="E161" s="3">
        <f t="shared" si="8"/>
        <v>67</v>
      </c>
      <c r="F161" s="90"/>
      <c r="G161" s="200" t="s">
        <v>61</v>
      </c>
      <c r="H161" s="158">
        <f>SUM(C159:C163)</f>
        <v>208</v>
      </c>
      <c r="I161" s="213"/>
      <c r="J161" s="5"/>
      <c r="K161" s="16"/>
      <c r="L161" s="16"/>
      <c r="M161" s="16"/>
    </row>
    <row r="162" spans="2:13" ht="15">
      <c r="B162" s="149" t="s">
        <v>17</v>
      </c>
      <c r="C162" s="3">
        <v>33</v>
      </c>
      <c r="D162" s="20">
        <v>43</v>
      </c>
      <c r="E162" s="3">
        <f t="shared" si="8"/>
        <v>76</v>
      </c>
      <c r="F162" s="90"/>
      <c r="G162" s="202" t="s">
        <v>62</v>
      </c>
      <c r="H162" s="199">
        <f>SUM(D164:D167)</f>
        <v>176</v>
      </c>
      <c r="I162" s="213"/>
      <c r="J162" s="5"/>
      <c r="K162" s="16"/>
      <c r="L162" s="16"/>
      <c r="M162" s="16"/>
    </row>
    <row r="163" spans="2:13" ht="15">
      <c r="B163" s="149" t="s">
        <v>18</v>
      </c>
      <c r="C163" s="3">
        <v>46</v>
      </c>
      <c r="D163" s="20">
        <v>43</v>
      </c>
      <c r="E163" s="3">
        <f t="shared" si="8"/>
        <v>89</v>
      </c>
      <c r="F163" s="90"/>
      <c r="G163" s="214" t="s">
        <v>65</v>
      </c>
      <c r="H163" s="215">
        <f>SUM(E155:E158)</f>
        <v>253</v>
      </c>
      <c r="I163" s="213"/>
      <c r="J163" s="5"/>
      <c r="K163" s="13"/>
      <c r="L163" s="13"/>
      <c r="M163" s="13"/>
    </row>
    <row r="164" spans="2:13" ht="15">
      <c r="B164" s="149" t="s">
        <v>19</v>
      </c>
      <c r="C164" s="3">
        <v>51</v>
      </c>
      <c r="D164" s="20">
        <v>52</v>
      </c>
      <c r="E164" s="3">
        <f t="shared" si="8"/>
        <v>103</v>
      </c>
      <c r="F164" s="90"/>
      <c r="G164" s="202" t="s">
        <v>59</v>
      </c>
      <c r="H164" s="199">
        <f>SUM(E168:E171)</f>
        <v>187</v>
      </c>
      <c r="I164" s="213"/>
      <c r="J164" s="13"/>
      <c r="K164" s="13"/>
      <c r="L164" s="13"/>
      <c r="M164" s="13"/>
    </row>
    <row r="165" spans="2:13" ht="15">
      <c r="B165" s="149" t="s">
        <v>20</v>
      </c>
      <c r="C165" s="3">
        <v>62</v>
      </c>
      <c r="D165" s="20">
        <v>58</v>
      </c>
      <c r="E165" s="3">
        <f t="shared" si="8"/>
        <v>120</v>
      </c>
      <c r="F165" s="90"/>
      <c r="G165" s="214" t="s">
        <v>57</v>
      </c>
      <c r="H165" s="215">
        <v>10</v>
      </c>
      <c r="I165" s="213"/>
      <c r="J165" s="13"/>
      <c r="K165" s="13"/>
      <c r="L165" s="13"/>
      <c r="M165" s="13"/>
    </row>
    <row r="166" spans="2:13" ht="15">
      <c r="B166" s="149" t="s">
        <v>21</v>
      </c>
      <c r="C166" s="3">
        <v>50</v>
      </c>
      <c r="D166" s="20">
        <v>35</v>
      </c>
      <c r="E166" s="3">
        <f t="shared" si="8"/>
        <v>85</v>
      </c>
      <c r="F166" s="90"/>
      <c r="G166" s="202" t="s">
        <v>58</v>
      </c>
      <c r="H166" s="199">
        <v>18</v>
      </c>
      <c r="I166" s="213"/>
      <c r="J166" s="13"/>
      <c r="K166" s="13"/>
      <c r="L166" s="13"/>
      <c r="M166" s="13"/>
    </row>
    <row r="167" spans="2:13" ht="15.75" thickBot="1">
      <c r="B167" s="149" t="s">
        <v>22</v>
      </c>
      <c r="C167" s="3">
        <v>31</v>
      </c>
      <c r="D167" s="20">
        <v>31</v>
      </c>
      <c r="E167" s="3">
        <f t="shared" si="8"/>
        <v>62</v>
      </c>
      <c r="F167" s="90"/>
      <c r="G167" s="201" t="s">
        <v>64</v>
      </c>
      <c r="H167" s="159">
        <f>ROUND(E167/5,0)</f>
        <v>12</v>
      </c>
      <c r="I167" s="213"/>
      <c r="J167" s="13"/>
      <c r="K167" s="13"/>
      <c r="L167" s="13"/>
      <c r="M167" s="13"/>
    </row>
    <row r="168" spans="2:13" ht="15">
      <c r="B168" s="149" t="s">
        <v>23</v>
      </c>
      <c r="C168" s="3">
        <v>29</v>
      </c>
      <c r="D168" s="20">
        <v>33</v>
      </c>
      <c r="E168" s="3">
        <f t="shared" si="8"/>
        <v>62</v>
      </c>
      <c r="F168" s="90"/>
      <c r="G168" s="200" t="s">
        <v>104</v>
      </c>
      <c r="H168" s="158">
        <f>3+3</f>
        <v>6</v>
      </c>
      <c r="I168" s="13"/>
      <c r="J168" s="16"/>
      <c r="K168" s="16"/>
      <c r="L168" s="16"/>
      <c r="M168" s="16"/>
    </row>
    <row r="169" spans="2:13" ht="15.75" thickBot="1">
      <c r="B169" s="149" t="s">
        <v>24</v>
      </c>
      <c r="C169" s="3">
        <v>23</v>
      </c>
      <c r="D169" s="20">
        <v>29</v>
      </c>
      <c r="E169" s="3">
        <f t="shared" si="8"/>
        <v>52</v>
      </c>
      <c r="F169" s="90"/>
      <c r="G169" s="268" t="s">
        <v>105</v>
      </c>
      <c r="H169" s="198">
        <f>4+3</f>
        <v>7</v>
      </c>
      <c r="I169" s="13"/>
      <c r="J169" s="13"/>
      <c r="K169" s="13"/>
      <c r="L169" s="13"/>
      <c r="M169" s="13"/>
    </row>
    <row r="170" spans="2:13" ht="15">
      <c r="B170" s="149" t="s">
        <v>25</v>
      </c>
      <c r="C170" s="3">
        <v>12</v>
      </c>
      <c r="D170" s="20">
        <v>17</v>
      </c>
      <c r="E170" s="3">
        <f t="shared" si="8"/>
        <v>29</v>
      </c>
      <c r="F170" s="90"/>
      <c r="G170" s="13"/>
      <c r="H170" s="13"/>
      <c r="I170" s="13"/>
      <c r="J170" s="13"/>
      <c r="K170" s="13"/>
      <c r="L170" s="13"/>
      <c r="M170" s="13"/>
    </row>
    <row r="171" spans="2:13" ht="15.75" thickBot="1">
      <c r="B171" s="149" t="s">
        <v>26</v>
      </c>
      <c r="C171" s="3">
        <v>20</v>
      </c>
      <c r="D171" s="20">
        <v>24</v>
      </c>
      <c r="E171" s="3">
        <f t="shared" si="8"/>
        <v>44</v>
      </c>
      <c r="F171" s="90"/>
      <c r="G171" s="13"/>
      <c r="H171" s="13"/>
      <c r="I171" s="13"/>
      <c r="J171" s="13"/>
      <c r="K171" s="13"/>
      <c r="L171" s="13"/>
      <c r="M171" s="13"/>
    </row>
    <row r="172" spans="2:13" ht="15.75" thickBot="1">
      <c r="B172" s="151" t="s">
        <v>14</v>
      </c>
      <c r="C172" s="152">
        <f>SUM(C155:C171)</f>
        <v>623</v>
      </c>
      <c r="D172" s="153">
        <f>SUM(D155:D171)</f>
        <v>593</v>
      </c>
      <c r="E172" s="152">
        <f>SUM(E155:E171)</f>
        <v>1216</v>
      </c>
      <c r="F172" s="90"/>
      <c r="G172" s="13"/>
      <c r="H172" s="13"/>
      <c r="I172" s="13"/>
      <c r="J172" s="13"/>
      <c r="K172" s="13"/>
      <c r="L172" s="13"/>
      <c r="M172" s="13"/>
    </row>
    <row r="173" spans="5:13" ht="18.75" customHeight="1" thickBot="1">
      <c r="E173" s="19"/>
      <c r="F173" s="90"/>
      <c r="G173" s="13"/>
      <c r="H173" s="13"/>
      <c r="I173" s="13"/>
      <c r="J173" s="13"/>
      <c r="K173" s="13"/>
      <c r="L173" s="13"/>
      <c r="M173" s="13"/>
    </row>
    <row r="174" spans="2:13" ht="25.5" customHeight="1" thickBot="1">
      <c r="B174" s="241" t="s">
        <v>45</v>
      </c>
      <c r="C174" s="243" t="s">
        <v>95</v>
      </c>
      <c r="D174" s="244"/>
      <c r="E174" s="245"/>
      <c r="F174" s="90"/>
      <c r="G174" s="241" t="s">
        <v>45</v>
      </c>
      <c r="H174" s="243" t="s">
        <v>95</v>
      </c>
      <c r="I174" s="244"/>
      <c r="J174" s="245"/>
      <c r="K174" s="13"/>
      <c r="L174" s="13"/>
      <c r="M174" s="13"/>
    </row>
    <row r="175" spans="2:13" ht="13.5" thickBot="1">
      <c r="B175" s="242"/>
      <c r="C175" s="146" t="s">
        <v>2</v>
      </c>
      <c r="D175" s="147" t="s">
        <v>3</v>
      </c>
      <c r="E175" s="148" t="s">
        <v>4</v>
      </c>
      <c r="F175" s="90"/>
      <c r="G175" s="242"/>
      <c r="H175" s="146" t="s">
        <v>2</v>
      </c>
      <c r="I175" s="147" t="s">
        <v>3</v>
      </c>
      <c r="J175" s="148" t="s">
        <v>4</v>
      </c>
      <c r="K175" s="13"/>
      <c r="L175" s="13"/>
      <c r="M175" s="13"/>
    </row>
    <row r="176" spans="2:13" ht="15">
      <c r="B176" s="149" t="s">
        <v>5</v>
      </c>
      <c r="C176" s="3">
        <f>6+0</f>
        <v>6</v>
      </c>
      <c r="D176" s="20">
        <f>18+0</f>
        <v>18</v>
      </c>
      <c r="E176" s="18">
        <f aca="true" t="shared" si="9" ref="E176:E192">SUM(C176:D176)</f>
        <v>24</v>
      </c>
      <c r="F176" s="90"/>
      <c r="G176" s="154" t="s">
        <v>6</v>
      </c>
      <c r="H176" s="4">
        <f>SUM(C176:C177)</f>
        <v>19</v>
      </c>
      <c r="I176" s="18">
        <f>SUM(D176:D177)</f>
        <v>35</v>
      </c>
      <c r="J176" s="18">
        <f>SUM(H176:I176)</f>
        <v>54</v>
      </c>
      <c r="K176" s="13"/>
      <c r="L176" s="13"/>
      <c r="M176" s="13"/>
    </row>
    <row r="177" spans="2:13" ht="15">
      <c r="B177" s="150" t="s">
        <v>7</v>
      </c>
      <c r="C177" s="3">
        <v>13</v>
      </c>
      <c r="D177" s="20">
        <v>17</v>
      </c>
      <c r="E177" s="3">
        <f t="shared" si="9"/>
        <v>30</v>
      </c>
      <c r="F177" s="90"/>
      <c r="G177" s="155" t="s">
        <v>8</v>
      </c>
      <c r="H177" s="4">
        <f>SUM(C178:C179)</f>
        <v>27</v>
      </c>
      <c r="I177" s="3">
        <f>SUM(D178:D179)</f>
        <v>27</v>
      </c>
      <c r="J177" s="3">
        <f>SUM(H177:I177)</f>
        <v>54</v>
      </c>
      <c r="K177" s="13"/>
      <c r="L177" s="13"/>
      <c r="M177" s="13"/>
    </row>
    <row r="178" spans="2:13" ht="15">
      <c r="B178" s="149" t="s">
        <v>60</v>
      </c>
      <c r="C178" s="3">
        <v>14</v>
      </c>
      <c r="D178" s="20">
        <v>21</v>
      </c>
      <c r="E178" s="3">
        <f t="shared" si="9"/>
        <v>35</v>
      </c>
      <c r="F178" s="90"/>
      <c r="G178" s="155" t="s">
        <v>10</v>
      </c>
      <c r="H178" s="4">
        <f>SUM(C180:C188)</f>
        <v>119</v>
      </c>
      <c r="I178" s="3">
        <f>SUM(D180:D188)</f>
        <v>120</v>
      </c>
      <c r="J178" s="3">
        <f>SUM(H178:I178)</f>
        <v>239</v>
      </c>
      <c r="K178" s="13"/>
      <c r="L178" s="13"/>
      <c r="M178" s="13"/>
    </row>
    <row r="179" spans="2:13" ht="15.75" thickBot="1">
      <c r="B179" s="149" t="s">
        <v>11</v>
      </c>
      <c r="C179" s="3">
        <v>13</v>
      </c>
      <c r="D179" s="20">
        <v>6</v>
      </c>
      <c r="E179" s="3">
        <f t="shared" si="9"/>
        <v>19</v>
      </c>
      <c r="F179" s="90"/>
      <c r="G179" s="155" t="s">
        <v>12</v>
      </c>
      <c r="H179" s="4">
        <f>SUM(C189:C192)</f>
        <v>28</v>
      </c>
      <c r="I179" s="3">
        <f>SUM(D189:D192)</f>
        <v>28</v>
      </c>
      <c r="J179" s="3">
        <f>SUM(H179:I179)</f>
        <v>56</v>
      </c>
      <c r="K179" s="13"/>
      <c r="L179" s="13"/>
      <c r="M179" s="13"/>
    </row>
    <row r="180" spans="2:13" ht="15.75" thickBot="1">
      <c r="B180" s="149" t="s">
        <v>13</v>
      </c>
      <c r="C180" s="3">
        <v>6</v>
      </c>
      <c r="D180" s="20">
        <v>15</v>
      </c>
      <c r="E180" s="3">
        <f t="shared" si="9"/>
        <v>21</v>
      </c>
      <c r="F180" s="90"/>
      <c r="G180" s="156" t="s">
        <v>14</v>
      </c>
      <c r="H180" s="152">
        <f>SUM(H176:H179)</f>
        <v>193</v>
      </c>
      <c r="I180" s="157">
        <f>SUM(I176:I179)</f>
        <v>210</v>
      </c>
      <c r="J180" s="152">
        <f>SUM(J176:J179)</f>
        <v>403</v>
      </c>
      <c r="L180" s="13"/>
      <c r="M180" s="13"/>
    </row>
    <row r="181" spans="2:13" ht="15.75" thickBot="1">
      <c r="B181" s="149" t="s">
        <v>15</v>
      </c>
      <c r="C181" s="3">
        <v>11</v>
      </c>
      <c r="D181" s="20">
        <v>14</v>
      </c>
      <c r="E181" s="3">
        <f t="shared" si="9"/>
        <v>25</v>
      </c>
      <c r="F181" s="90"/>
      <c r="K181" s="84"/>
      <c r="L181" s="13"/>
      <c r="M181" s="13"/>
    </row>
    <row r="182" spans="2:13" ht="15">
      <c r="B182" s="149" t="s">
        <v>16</v>
      </c>
      <c r="C182" s="3">
        <v>12</v>
      </c>
      <c r="D182" s="20">
        <v>14</v>
      </c>
      <c r="E182" s="3">
        <f t="shared" si="9"/>
        <v>26</v>
      </c>
      <c r="F182" s="90"/>
      <c r="G182" s="200" t="s">
        <v>61</v>
      </c>
      <c r="H182" s="158">
        <f>SUM(C180:C184)</f>
        <v>51</v>
      </c>
      <c r="I182" s="213"/>
      <c r="J182" s="5"/>
      <c r="K182" s="13"/>
      <c r="L182" s="13"/>
      <c r="M182" s="13"/>
    </row>
    <row r="183" spans="2:13" ht="15">
      <c r="B183" s="149" t="s">
        <v>17</v>
      </c>
      <c r="C183" s="3">
        <v>8</v>
      </c>
      <c r="D183" s="20">
        <v>9</v>
      </c>
      <c r="E183" s="3">
        <f t="shared" si="9"/>
        <v>17</v>
      </c>
      <c r="F183" s="90"/>
      <c r="G183" s="202" t="s">
        <v>62</v>
      </c>
      <c r="H183" s="199">
        <f>SUM(D185:D188)</f>
        <v>53</v>
      </c>
      <c r="I183" s="213"/>
      <c r="J183" s="5"/>
      <c r="K183" s="13"/>
      <c r="L183" s="13"/>
      <c r="M183" s="13"/>
    </row>
    <row r="184" spans="2:13" ht="15">
      <c r="B184" s="149" t="s">
        <v>18</v>
      </c>
      <c r="C184" s="3">
        <v>14</v>
      </c>
      <c r="D184" s="20">
        <v>15</v>
      </c>
      <c r="E184" s="3">
        <f t="shared" si="9"/>
        <v>29</v>
      </c>
      <c r="F184" s="90"/>
      <c r="G184" s="214" t="s">
        <v>65</v>
      </c>
      <c r="H184" s="215">
        <f>SUM(E176:E179)</f>
        <v>108</v>
      </c>
      <c r="I184" s="213"/>
      <c r="J184" s="5"/>
      <c r="K184" s="13"/>
      <c r="L184" s="13"/>
      <c r="M184" s="13"/>
    </row>
    <row r="185" spans="2:13" ht="15">
      <c r="B185" s="149" t="s">
        <v>19</v>
      </c>
      <c r="C185" s="3">
        <v>17</v>
      </c>
      <c r="D185" s="20">
        <v>18</v>
      </c>
      <c r="E185" s="3">
        <f t="shared" si="9"/>
        <v>35</v>
      </c>
      <c r="F185" s="90"/>
      <c r="G185" s="202" t="s">
        <v>59</v>
      </c>
      <c r="H185" s="199">
        <f>SUM(E189:E192)</f>
        <v>56</v>
      </c>
      <c r="I185" s="213"/>
      <c r="J185" s="13"/>
      <c r="K185" s="13"/>
      <c r="L185" s="13"/>
      <c r="M185" s="13"/>
    </row>
    <row r="186" spans="2:13" ht="15">
      <c r="B186" s="149" t="s">
        <v>20</v>
      </c>
      <c r="C186" s="3">
        <v>18</v>
      </c>
      <c r="D186" s="20">
        <v>11</v>
      </c>
      <c r="E186" s="3">
        <f t="shared" si="9"/>
        <v>29</v>
      </c>
      <c r="F186" s="90"/>
      <c r="G186" s="214" t="s">
        <v>57</v>
      </c>
      <c r="H186" s="215">
        <v>6</v>
      </c>
      <c r="I186" s="213"/>
      <c r="J186" s="13"/>
      <c r="K186" s="13"/>
      <c r="L186" s="13"/>
      <c r="M186" s="13"/>
    </row>
    <row r="187" spans="2:13" ht="15">
      <c r="B187" s="149" t="s">
        <v>21</v>
      </c>
      <c r="C187" s="3">
        <v>19</v>
      </c>
      <c r="D187" s="20">
        <v>17</v>
      </c>
      <c r="E187" s="3">
        <f t="shared" si="9"/>
        <v>36</v>
      </c>
      <c r="F187" s="90"/>
      <c r="G187" s="202" t="s">
        <v>58</v>
      </c>
      <c r="H187" s="199">
        <v>8</v>
      </c>
      <c r="I187" s="213"/>
      <c r="J187" s="13"/>
      <c r="K187" s="13"/>
      <c r="L187" s="13"/>
      <c r="M187" s="13"/>
    </row>
    <row r="188" spans="2:13" ht="15.75" thickBot="1">
      <c r="B188" s="149" t="s">
        <v>22</v>
      </c>
      <c r="C188" s="3">
        <v>14</v>
      </c>
      <c r="D188" s="20">
        <v>7</v>
      </c>
      <c r="E188" s="3">
        <f t="shared" si="9"/>
        <v>21</v>
      </c>
      <c r="F188" s="90"/>
      <c r="G188" s="201" t="s">
        <v>64</v>
      </c>
      <c r="H188" s="159">
        <f>ROUND(E188/5,0)</f>
        <v>4</v>
      </c>
      <c r="I188" s="213"/>
      <c r="J188" s="13"/>
      <c r="K188" s="13"/>
      <c r="L188" s="13"/>
      <c r="M188" s="13"/>
    </row>
    <row r="189" spans="2:13" ht="15">
      <c r="B189" s="149" t="s">
        <v>23</v>
      </c>
      <c r="C189" s="3">
        <v>8</v>
      </c>
      <c r="D189" s="20">
        <v>6</v>
      </c>
      <c r="E189" s="3">
        <f t="shared" si="9"/>
        <v>14</v>
      </c>
      <c r="F189" s="90"/>
      <c r="G189" s="200" t="s">
        <v>104</v>
      </c>
      <c r="H189" s="158">
        <f>2+1</f>
        <v>3</v>
      </c>
      <c r="I189" s="13"/>
      <c r="J189" s="13"/>
      <c r="K189" s="13"/>
      <c r="L189" s="13"/>
      <c r="M189" s="13"/>
    </row>
    <row r="190" spans="2:13" ht="15.75" thickBot="1">
      <c r="B190" s="149" t="s">
        <v>24</v>
      </c>
      <c r="C190" s="3">
        <v>8</v>
      </c>
      <c r="D190" s="20">
        <v>6</v>
      </c>
      <c r="E190" s="3">
        <f t="shared" si="9"/>
        <v>14</v>
      </c>
      <c r="F190" s="90"/>
      <c r="G190" s="268" t="s">
        <v>105</v>
      </c>
      <c r="H190" s="198">
        <f>0+8</f>
        <v>8</v>
      </c>
      <c r="I190" s="13"/>
      <c r="J190" s="13"/>
      <c r="K190" s="13"/>
      <c r="L190" s="13"/>
      <c r="M190" s="13"/>
    </row>
    <row r="191" spans="2:13" ht="15">
      <c r="B191" s="149" t="s">
        <v>25</v>
      </c>
      <c r="C191" s="3">
        <v>5</v>
      </c>
      <c r="D191" s="20">
        <v>7</v>
      </c>
      <c r="E191" s="3">
        <f t="shared" si="9"/>
        <v>12</v>
      </c>
      <c r="F191" s="90"/>
      <c r="G191" s="13"/>
      <c r="H191" s="13"/>
      <c r="I191" s="13"/>
      <c r="J191" s="13"/>
      <c r="K191" s="13"/>
      <c r="L191" s="13"/>
      <c r="M191" s="13"/>
    </row>
    <row r="192" spans="2:13" ht="15.75" thickBot="1">
      <c r="B192" s="149" t="s">
        <v>26</v>
      </c>
      <c r="C192" s="3">
        <v>7</v>
      </c>
      <c r="D192" s="20">
        <v>9</v>
      </c>
      <c r="E192" s="3">
        <f t="shared" si="9"/>
        <v>16</v>
      </c>
      <c r="F192" s="90"/>
      <c r="G192" s="13"/>
      <c r="H192" s="13"/>
      <c r="I192" s="13"/>
      <c r="J192" s="13"/>
      <c r="K192" s="13"/>
      <c r="L192" s="13"/>
      <c r="M192" s="13"/>
    </row>
    <row r="193" spans="2:13" ht="15.75" thickBot="1">
      <c r="B193" s="151" t="s">
        <v>14</v>
      </c>
      <c r="C193" s="152">
        <f>SUM(C176:C192)</f>
        <v>193</v>
      </c>
      <c r="D193" s="153">
        <f>SUM(D176:D192)</f>
        <v>210</v>
      </c>
      <c r="E193" s="152">
        <f>SUM(E176:E192)</f>
        <v>403</v>
      </c>
      <c r="F193" s="90"/>
      <c r="G193" s="13"/>
      <c r="H193" s="13"/>
      <c r="I193" s="13"/>
      <c r="J193" s="13"/>
      <c r="K193" s="13"/>
      <c r="L193" s="13"/>
      <c r="M193" s="13"/>
    </row>
    <row r="194" spans="5:13" ht="15.75" customHeight="1">
      <c r="E194" s="19"/>
      <c r="G194" s="13"/>
      <c r="H194" s="13"/>
      <c r="I194" s="13"/>
      <c r="J194" s="13"/>
      <c r="K194" s="13"/>
      <c r="L194" s="13"/>
      <c r="M194" s="13"/>
    </row>
    <row r="195" spans="7:13" ht="12.75">
      <c r="G195" s="13"/>
      <c r="H195" s="13"/>
      <c r="I195" s="13"/>
      <c r="J195" s="13"/>
      <c r="K195" s="13"/>
      <c r="L195" s="13"/>
      <c r="M195" s="13"/>
    </row>
    <row r="196" spans="7:13" ht="12.75">
      <c r="G196" s="13"/>
      <c r="H196" s="13"/>
      <c r="I196" s="13"/>
      <c r="J196" s="13"/>
      <c r="K196" s="13"/>
      <c r="L196" s="13"/>
      <c r="M196" s="13"/>
    </row>
    <row r="197" spans="7:13" ht="12.75">
      <c r="G197" s="13"/>
      <c r="H197" s="13"/>
      <c r="I197" s="13"/>
      <c r="J197" s="13"/>
      <c r="K197" s="13"/>
      <c r="L197" s="13"/>
      <c r="M197" s="13"/>
    </row>
    <row r="198" spans="7:13" ht="12.75">
      <c r="G198" s="13"/>
      <c r="H198" s="13"/>
      <c r="I198" s="13"/>
      <c r="J198" s="13"/>
      <c r="K198" s="13"/>
      <c r="L198" s="13"/>
      <c r="M198" s="13"/>
    </row>
    <row r="199" spans="7:13" ht="12.75">
      <c r="G199" s="13"/>
      <c r="H199" s="13"/>
      <c r="I199" s="13"/>
      <c r="J199" s="13"/>
      <c r="K199" s="13"/>
      <c r="L199" s="13"/>
      <c r="M199" s="13"/>
    </row>
    <row r="200" spans="7:13" ht="12.75">
      <c r="G200" s="13"/>
      <c r="H200" s="13"/>
      <c r="I200" s="13"/>
      <c r="J200" s="13"/>
      <c r="K200" s="13"/>
      <c r="L200" s="13"/>
      <c r="M200" s="13"/>
    </row>
  </sheetData>
  <sheetProtection/>
  <mergeCells count="38">
    <mergeCell ref="G48:G49"/>
    <mergeCell ref="H48:J48"/>
    <mergeCell ref="B1:J1"/>
    <mergeCell ref="B6:B7"/>
    <mergeCell ref="C6:E6"/>
    <mergeCell ref="G6:G7"/>
    <mergeCell ref="H6:J6"/>
    <mergeCell ref="G3:J4"/>
    <mergeCell ref="B90:B91"/>
    <mergeCell ref="C90:E90"/>
    <mergeCell ref="G90:G91"/>
    <mergeCell ref="H90:J90"/>
    <mergeCell ref="B27:B28"/>
    <mergeCell ref="C27:E27"/>
    <mergeCell ref="G27:G28"/>
    <mergeCell ref="H27:J27"/>
    <mergeCell ref="B48:B49"/>
    <mergeCell ref="C48:E48"/>
    <mergeCell ref="G132:G133"/>
    <mergeCell ref="H132:J132"/>
    <mergeCell ref="B153:B154"/>
    <mergeCell ref="C153:E153"/>
    <mergeCell ref="B69:B70"/>
    <mergeCell ref="C69:E69"/>
    <mergeCell ref="G69:G70"/>
    <mergeCell ref="H69:J69"/>
    <mergeCell ref="G153:G154"/>
    <mergeCell ref="H153:J153"/>
    <mergeCell ref="B111:B112"/>
    <mergeCell ref="C111:E111"/>
    <mergeCell ref="G111:G112"/>
    <mergeCell ref="H111:J111"/>
    <mergeCell ref="B174:B175"/>
    <mergeCell ref="C174:E174"/>
    <mergeCell ref="G174:G175"/>
    <mergeCell ref="H174:J174"/>
    <mergeCell ref="B132:B133"/>
    <mergeCell ref="C132:E132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scale="70" r:id="rId1"/>
  <headerFooter>
    <oddFooter>&amp;C&amp;"-,Cursiva"&amp;K01+048Depto. Estadísticas y Gestión de la Información - Servicio de Salud Osorno</oddFooter>
  </headerFooter>
  <rowBreaks count="2" manualBreakCount="2">
    <brk id="68" max="255" man="1"/>
    <brk id="131" max="255" man="1"/>
  </rowBreaks>
  <ignoredErrors>
    <ignoredError sqref="H30:I32 H51:I53 H72:I74 H93:I95 H114:I116 H135:I137 H156:I158 H177:I179 H35:H36 H56:H57 H77:H78 H98:H99 H119:H120 H140:H141 H161:H162 H182:H183" formulaRange="1"/>
    <ignoredError sqref="B9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1" sqref="H21:H22"/>
    </sheetView>
  </sheetViews>
  <sheetFormatPr defaultColWidth="11.421875" defaultRowHeight="15"/>
  <cols>
    <col min="1" max="1" width="3.00390625" style="0" customWidth="1"/>
    <col min="2" max="2" width="16.28125" style="0" customWidth="1"/>
    <col min="7" max="7" width="17.57421875" style="0" customWidth="1"/>
  </cols>
  <sheetData>
    <row r="1" spans="2:12" ht="15.75" thickBot="1">
      <c r="B1" s="248" t="s">
        <v>79</v>
      </c>
      <c r="C1" s="249"/>
      <c r="D1" s="249"/>
      <c r="E1" s="249"/>
      <c r="F1" s="249"/>
      <c r="G1" s="249"/>
      <c r="H1" s="249"/>
      <c r="I1" s="249"/>
      <c r="J1" s="250"/>
      <c r="K1" s="2"/>
      <c r="L1" s="2"/>
    </row>
    <row r="3" spans="2:7" ht="15">
      <c r="B3" s="181" t="s">
        <v>67</v>
      </c>
      <c r="C3" s="184" t="s">
        <v>27</v>
      </c>
      <c r="G3" s="213" t="s">
        <v>72</v>
      </c>
    </row>
    <row r="4" spans="2:3" ht="15">
      <c r="B4" s="181" t="s">
        <v>44</v>
      </c>
      <c r="C4" s="185">
        <v>10303</v>
      </c>
    </row>
    <row r="5" ht="15.75" thickBot="1"/>
    <row r="6" spans="2:10" ht="27" customHeight="1" thickBot="1">
      <c r="B6" s="241" t="s">
        <v>45</v>
      </c>
      <c r="C6" s="243" t="s">
        <v>96</v>
      </c>
      <c r="D6" s="244"/>
      <c r="E6" s="245"/>
      <c r="F6" s="1"/>
      <c r="G6" s="241" t="s">
        <v>45</v>
      </c>
      <c r="H6" s="243" t="s">
        <v>96</v>
      </c>
      <c r="I6" s="244"/>
      <c r="J6" s="245"/>
    </row>
    <row r="7" spans="2:10" ht="15.75" thickBot="1">
      <c r="B7" s="242"/>
      <c r="C7" s="146" t="s">
        <v>2</v>
      </c>
      <c r="D7" s="147" t="s">
        <v>3</v>
      </c>
      <c r="E7" s="148" t="s">
        <v>4</v>
      </c>
      <c r="F7" s="90"/>
      <c r="G7" s="242"/>
      <c r="H7" s="146" t="s">
        <v>2</v>
      </c>
      <c r="I7" s="147" t="s">
        <v>3</v>
      </c>
      <c r="J7" s="148" t="s">
        <v>4</v>
      </c>
    </row>
    <row r="8" spans="2:10" ht="15">
      <c r="B8" s="149" t="s">
        <v>5</v>
      </c>
      <c r="C8" s="3">
        <f>667+0</f>
        <v>667</v>
      </c>
      <c r="D8" s="20">
        <f>651+3</f>
        <v>654</v>
      </c>
      <c r="E8" s="18">
        <f aca="true" t="shared" si="0" ref="E8:E24">SUM(C8:D8)</f>
        <v>1321</v>
      </c>
      <c r="F8" s="90"/>
      <c r="G8" s="154" t="s">
        <v>6</v>
      </c>
      <c r="H8" s="4">
        <f>SUM(C8:C9)</f>
        <v>1360</v>
      </c>
      <c r="I8" s="18">
        <f>SUM(D8:D9)</f>
        <v>1350</v>
      </c>
      <c r="J8" s="18">
        <f>SUM(H8:I8)</f>
        <v>2710</v>
      </c>
    </row>
    <row r="9" spans="2:10" ht="15">
      <c r="B9" s="150" t="s">
        <v>7</v>
      </c>
      <c r="C9" s="3">
        <v>693</v>
      </c>
      <c r="D9" s="20">
        <v>696</v>
      </c>
      <c r="E9" s="3">
        <f t="shared" si="0"/>
        <v>1389</v>
      </c>
      <c r="F9" s="90"/>
      <c r="G9" s="155" t="s">
        <v>8</v>
      </c>
      <c r="H9" s="4">
        <f>SUM(C10:C11)</f>
        <v>1601</v>
      </c>
      <c r="I9" s="3">
        <f>SUM(D10:D11)</f>
        <v>1511</v>
      </c>
      <c r="J9" s="3">
        <f>SUM(H9:I9)</f>
        <v>3112</v>
      </c>
    </row>
    <row r="10" spans="2:10" ht="15">
      <c r="B10" s="149" t="s">
        <v>60</v>
      </c>
      <c r="C10" s="3">
        <v>775</v>
      </c>
      <c r="D10" s="20">
        <v>680</v>
      </c>
      <c r="E10" s="3">
        <f t="shared" si="0"/>
        <v>1455</v>
      </c>
      <c r="F10" s="90"/>
      <c r="G10" s="155" t="s">
        <v>10</v>
      </c>
      <c r="H10" s="4">
        <f>SUM(C12:C20)</f>
        <v>6072</v>
      </c>
      <c r="I10" s="3">
        <f>SUM(D12:D20)</f>
        <v>6391</v>
      </c>
      <c r="J10" s="3">
        <f>SUM(H10:I10)</f>
        <v>12463</v>
      </c>
    </row>
    <row r="11" spans="2:10" ht="15.75" thickBot="1">
      <c r="B11" s="149" t="s">
        <v>11</v>
      </c>
      <c r="C11" s="3">
        <v>826</v>
      </c>
      <c r="D11" s="20">
        <v>831</v>
      </c>
      <c r="E11" s="3">
        <f t="shared" si="0"/>
        <v>1657</v>
      </c>
      <c r="F11" s="90"/>
      <c r="G11" s="155" t="s">
        <v>12</v>
      </c>
      <c r="H11" s="4">
        <f>SUM(C21:C24)</f>
        <v>1411</v>
      </c>
      <c r="I11" s="3">
        <f>SUM(D21:D24)</f>
        <v>1614</v>
      </c>
      <c r="J11" s="3">
        <f>SUM(H11:I11)</f>
        <v>3025</v>
      </c>
    </row>
    <row r="12" spans="2:10" ht="15.75" thickBot="1">
      <c r="B12" s="149" t="s">
        <v>13</v>
      </c>
      <c r="C12" s="3">
        <v>878</v>
      </c>
      <c r="D12" s="20">
        <v>895</v>
      </c>
      <c r="E12" s="3">
        <f t="shared" si="0"/>
        <v>1773</v>
      </c>
      <c r="F12" s="90"/>
      <c r="G12" s="156" t="s">
        <v>14</v>
      </c>
      <c r="H12" s="157">
        <f>SUM(H8:H11)</f>
        <v>10444</v>
      </c>
      <c r="I12" s="152">
        <f>SUM(I8:I11)</f>
        <v>10866</v>
      </c>
      <c r="J12" s="157">
        <f>SUM(J8:J11)</f>
        <v>21310</v>
      </c>
    </row>
    <row r="13" spans="2:6" ht="15.75" thickBot="1">
      <c r="B13" s="149" t="s">
        <v>15</v>
      </c>
      <c r="C13" s="3">
        <v>693</v>
      </c>
      <c r="D13" s="20">
        <v>755</v>
      </c>
      <c r="E13" s="3">
        <f t="shared" si="0"/>
        <v>1448</v>
      </c>
      <c r="F13" s="90"/>
    </row>
    <row r="14" spans="2:12" ht="15">
      <c r="B14" s="149" t="s">
        <v>16</v>
      </c>
      <c r="C14" s="3">
        <v>637</v>
      </c>
      <c r="D14" s="20">
        <v>630</v>
      </c>
      <c r="E14" s="3">
        <f t="shared" si="0"/>
        <v>1267</v>
      </c>
      <c r="F14" s="90"/>
      <c r="G14" s="200" t="s">
        <v>61</v>
      </c>
      <c r="H14" s="158">
        <f>SUM(C12:C16)</f>
        <v>3458</v>
      </c>
      <c r="I14" s="213"/>
      <c r="J14" s="5"/>
      <c r="K14" s="21"/>
      <c r="L14" s="21"/>
    </row>
    <row r="15" spans="2:12" ht="15">
      <c r="B15" s="149" t="s">
        <v>17</v>
      </c>
      <c r="C15" s="3">
        <v>573</v>
      </c>
      <c r="D15" s="20">
        <v>664</v>
      </c>
      <c r="E15" s="3">
        <f t="shared" si="0"/>
        <v>1237</v>
      </c>
      <c r="F15" s="90"/>
      <c r="G15" s="202" t="s">
        <v>62</v>
      </c>
      <c r="H15" s="199">
        <f>SUM(D17:D20)</f>
        <v>2710</v>
      </c>
      <c r="I15" s="213"/>
      <c r="J15" s="5"/>
      <c r="K15" s="4"/>
      <c r="L15" s="4"/>
    </row>
    <row r="16" spans="2:12" ht="15">
      <c r="B16" s="149" t="s">
        <v>18</v>
      </c>
      <c r="C16" s="3">
        <v>677</v>
      </c>
      <c r="D16" s="20">
        <v>737</v>
      </c>
      <c r="E16" s="3">
        <f t="shared" si="0"/>
        <v>1414</v>
      </c>
      <c r="F16" s="90"/>
      <c r="G16" s="214" t="s">
        <v>65</v>
      </c>
      <c r="H16" s="215">
        <f>SUM(E8:E11)</f>
        <v>5822</v>
      </c>
      <c r="I16" s="213"/>
      <c r="J16" s="5"/>
      <c r="K16" s="4"/>
      <c r="L16" s="4"/>
    </row>
    <row r="17" spans="2:12" ht="15">
      <c r="B17" s="149" t="s">
        <v>19</v>
      </c>
      <c r="C17" s="3">
        <v>754</v>
      </c>
      <c r="D17" s="20">
        <v>807</v>
      </c>
      <c r="E17" s="3">
        <f t="shared" si="0"/>
        <v>1561</v>
      </c>
      <c r="F17" s="90"/>
      <c r="G17" s="202" t="s">
        <v>59</v>
      </c>
      <c r="H17" s="199">
        <f>SUM(E21:E24)</f>
        <v>3025</v>
      </c>
      <c r="I17" s="213"/>
      <c r="J17" s="9"/>
      <c r="K17" s="4"/>
      <c r="L17" s="4"/>
    </row>
    <row r="18" spans="2:12" ht="15">
      <c r="B18" s="149" t="s">
        <v>20</v>
      </c>
      <c r="C18" s="3">
        <v>766</v>
      </c>
      <c r="D18" s="20">
        <v>736</v>
      </c>
      <c r="E18" s="3">
        <f t="shared" si="0"/>
        <v>1502</v>
      </c>
      <c r="F18" s="90"/>
      <c r="G18" s="214" t="s">
        <v>57</v>
      </c>
      <c r="H18" s="215">
        <v>287</v>
      </c>
      <c r="I18" s="213"/>
      <c r="J18" s="9"/>
      <c r="K18" s="4"/>
      <c r="L18" s="4"/>
    </row>
    <row r="19" spans="2:12" ht="15">
      <c r="B19" s="149" t="s">
        <v>21</v>
      </c>
      <c r="C19" s="3">
        <v>636</v>
      </c>
      <c r="D19" s="20">
        <v>630</v>
      </c>
      <c r="E19" s="3">
        <f t="shared" si="0"/>
        <v>1266</v>
      </c>
      <c r="F19" s="90"/>
      <c r="G19" s="202" t="s">
        <v>58</v>
      </c>
      <c r="H19" s="199">
        <v>288</v>
      </c>
      <c r="I19" s="213"/>
      <c r="J19" s="9"/>
      <c r="K19" s="22"/>
      <c r="L19" s="22"/>
    </row>
    <row r="20" spans="2:12" ht="15" customHeight="1" thickBot="1">
      <c r="B20" s="149" t="s">
        <v>22</v>
      </c>
      <c r="C20" s="3">
        <v>458</v>
      </c>
      <c r="D20" s="20">
        <v>537</v>
      </c>
      <c r="E20" s="3">
        <f t="shared" si="0"/>
        <v>995</v>
      </c>
      <c r="F20" s="90"/>
      <c r="G20" s="201" t="s">
        <v>64</v>
      </c>
      <c r="H20" s="159">
        <f>ROUND(E$20/5,0)</f>
        <v>199</v>
      </c>
      <c r="I20" s="213"/>
      <c r="K20" s="21"/>
      <c r="L20" s="21"/>
    </row>
    <row r="21" spans="2:12" ht="15">
      <c r="B21" s="149" t="s">
        <v>23</v>
      </c>
      <c r="C21" s="3">
        <v>464</v>
      </c>
      <c r="D21" s="20">
        <v>476</v>
      </c>
      <c r="E21" s="3">
        <f t="shared" si="0"/>
        <v>940</v>
      </c>
      <c r="F21" s="90"/>
      <c r="G21" s="200" t="s">
        <v>104</v>
      </c>
      <c r="H21" s="158">
        <f>150+126+1</f>
        <v>277</v>
      </c>
      <c r="K21" s="21"/>
      <c r="L21" s="21"/>
    </row>
    <row r="22" spans="2:12" ht="15.75" thickBot="1">
      <c r="B22" s="149" t="s">
        <v>24</v>
      </c>
      <c r="C22" s="3">
        <v>362</v>
      </c>
      <c r="D22" s="20">
        <v>398</v>
      </c>
      <c r="E22" s="3">
        <f t="shared" si="0"/>
        <v>760</v>
      </c>
      <c r="F22" s="90"/>
      <c r="G22" s="268" t="s">
        <v>105</v>
      </c>
      <c r="H22" s="198">
        <f>148+133+2</f>
        <v>283</v>
      </c>
      <c r="K22" s="21"/>
      <c r="L22" s="21"/>
    </row>
    <row r="23" spans="2:12" ht="15">
      <c r="B23" s="149" t="s">
        <v>25</v>
      </c>
      <c r="C23" s="3">
        <v>271</v>
      </c>
      <c r="D23" s="20">
        <v>335</v>
      </c>
      <c r="E23" s="3">
        <f t="shared" si="0"/>
        <v>606</v>
      </c>
      <c r="F23" s="90"/>
      <c r="K23" s="21"/>
      <c r="L23" s="21"/>
    </row>
    <row r="24" spans="2:6" ht="15.75" thickBot="1">
      <c r="B24" s="149" t="s">
        <v>26</v>
      </c>
      <c r="C24" s="3">
        <v>314</v>
      </c>
      <c r="D24" s="20">
        <v>405</v>
      </c>
      <c r="E24" s="3">
        <f t="shared" si="0"/>
        <v>719</v>
      </c>
      <c r="F24" s="90"/>
    </row>
    <row r="25" spans="2:10" ht="15.75" thickBot="1">
      <c r="B25" s="151" t="s">
        <v>14</v>
      </c>
      <c r="C25" s="152">
        <f>SUM(C8:C24)</f>
        <v>10444</v>
      </c>
      <c r="D25" s="153">
        <f>SUM(D8:D24)</f>
        <v>10866</v>
      </c>
      <c r="E25" s="152">
        <f>SUM(E8:E24)</f>
        <v>21310</v>
      </c>
      <c r="F25" s="176"/>
      <c r="G25" s="4"/>
      <c r="H25" s="11"/>
      <c r="I25" s="11"/>
      <c r="J25" s="11"/>
    </row>
    <row r="26" ht="15">
      <c r="G26" s="4"/>
    </row>
    <row r="27" spans="1:7" ht="15">
      <c r="A27" s="13"/>
      <c r="B27" s="162"/>
      <c r="C27" s="162"/>
      <c r="D27" s="162"/>
      <c r="E27" s="162"/>
      <c r="F27" s="23"/>
      <c r="G27" s="22"/>
    </row>
    <row r="28" spans="1:5" ht="15">
      <c r="A28" s="13"/>
      <c r="B28" s="162"/>
      <c r="C28" s="162"/>
      <c r="D28" s="162"/>
      <c r="E28" s="162"/>
    </row>
    <row r="29" spans="1:5" ht="15">
      <c r="A29" s="13"/>
      <c r="B29" s="162"/>
      <c r="C29" s="162"/>
      <c r="D29" s="162"/>
      <c r="E29" s="162"/>
    </row>
    <row r="30" spans="1:5" ht="15">
      <c r="A30" s="13"/>
      <c r="B30" s="162"/>
      <c r="C30" s="162"/>
      <c r="D30" s="162"/>
      <c r="E30" s="162"/>
    </row>
    <row r="31" ht="15">
      <c r="A31" s="13"/>
    </row>
    <row r="32" spans="1:6" ht="15">
      <c r="A32" s="13"/>
      <c r="B32" s="9"/>
      <c r="C32" s="9"/>
      <c r="D32" s="9"/>
      <c r="E32" s="9"/>
      <c r="F32" s="9"/>
    </row>
    <row r="33" spans="1:6" ht="15">
      <c r="A33" s="13"/>
      <c r="B33" s="9"/>
      <c r="C33" s="9"/>
      <c r="D33" s="9"/>
      <c r="E33" s="9"/>
      <c r="F33" s="9"/>
    </row>
    <row r="34" spans="1:6" ht="15">
      <c r="A34" s="13"/>
      <c r="B34" s="9"/>
      <c r="C34" s="24"/>
      <c r="D34" s="24"/>
      <c r="E34" s="10"/>
      <c r="F34" s="10"/>
    </row>
    <row r="35" spans="1:6" ht="15">
      <c r="A35" s="13"/>
      <c r="B35" s="9"/>
      <c r="C35" s="9"/>
      <c r="D35" s="9"/>
      <c r="E35" s="9"/>
      <c r="F35" s="9"/>
    </row>
    <row r="36" spans="1:6" ht="15">
      <c r="A36" s="13"/>
      <c r="B36" s="9"/>
      <c r="C36" s="9"/>
      <c r="D36" s="9"/>
      <c r="E36" s="9"/>
      <c r="F36" s="9"/>
    </row>
    <row r="37" spans="1:7" ht="15">
      <c r="A37" s="13"/>
      <c r="B37" s="9"/>
      <c r="C37" s="9"/>
      <c r="D37" s="9"/>
      <c r="E37" s="9"/>
      <c r="F37" s="9"/>
      <c r="G37" s="8"/>
    </row>
    <row r="38" spans="1:6" ht="15">
      <c r="A38" s="13"/>
      <c r="B38" s="9"/>
      <c r="C38" s="9"/>
      <c r="D38" s="9"/>
      <c r="E38" s="9"/>
      <c r="F38" s="9"/>
    </row>
    <row r="39" spans="1:6" ht="15">
      <c r="A39" s="13"/>
      <c r="B39" s="9"/>
      <c r="C39" s="9"/>
      <c r="D39" s="9"/>
      <c r="E39" s="9"/>
      <c r="F39" s="9"/>
    </row>
    <row r="40" spans="1:6" ht="15">
      <c r="A40" s="13"/>
      <c r="B40" s="9"/>
      <c r="C40" s="10"/>
      <c r="D40" s="10"/>
      <c r="E40" s="10"/>
      <c r="F40" s="10"/>
    </row>
    <row r="41" spans="1:6" ht="15">
      <c r="A41" s="13"/>
      <c r="B41" s="9"/>
      <c r="C41" s="9"/>
      <c r="D41" s="9"/>
      <c r="E41" s="9"/>
      <c r="F41" s="9"/>
    </row>
    <row r="42" spans="1:8" ht="15">
      <c r="A42" s="13"/>
      <c r="B42" s="9"/>
      <c r="C42" s="9"/>
      <c r="D42" s="9"/>
      <c r="E42" s="9"/>
      <c r="F42" s="9"/>
      <c r="H42" s="8"/>
    </row>
    <row r="43" spans="1:6" ht="15">
      <c r="A43" s="13"/>
      <c r="B43" s="11"/>
      <c r="C43" s="11"/>
      <c r="D43" s="11"/>
      <c r="E43" s="11"/>
      <c r="F43" s="11"/>
    </row>
    <row r="44" spans="1:7" ht="15">
      <c r="A44" s="13"/>
      <c r="B44" s="11"/>
      <c r="C44" s="11"/>
      <c r="D44" s="11"/>
      <c r="E44" s="11"/>
      <c r="F44" s="11"/>
      <c r="G44" s="8"/>
    </row>
    <row r="45" spans="1:6" ht="15">
      <c r="A45" s="13"/>
      <c r="B45" s="11"/>
      <c r="C45" s="11"/>
      <c r="D45" s="11"/>
      <c r="E45" s="11"/>
      <c r="F45" s="11"/>
    </row>
    <row r="46" spans="1:6" ht="15">
      <c r="A46" s="13"/>
      <c r="B46" s="11"/>
      <c r="C46" s="12"/>
      <c r="D46" s="12"/>
      <c r="E46" s="12"/>
      <c r="F46" s="12"/>
    </row>
    <row r="47" spans="1:6" ht="15">
      <c r="A47" s="13"/>
      <c r="B47" s="11"/>
      <c r="C47" s="11"/>
      <c r="D47" s="11"/>
      <c r="E47" s="11"/>
      <c r="F47" s="11"/>
    </row>
    <row r="48" spans="1:6" ht="15">
      <c r="A48" s="13"/>
      <c r="B48" s="11"/>
      <c r="C48" s="11"/>
      <c r="D48" s="11"/>
      <c r="E48" s="11"/>
      <c r="F48" s="11"/>
    </row>
    <row r="49" spans="1:6" ht="15">
      <c r="A49" s="13"/>
      <c r="B49" s="11"/>
      <c r="C49" s="11"/>
      <c r="D49" s="11"/>
      <c r="E49" s="11"/>
      <c r="F49" s="11"/>
    </row>
    <row r="50" spans="1:6" ht="15">
      <c r="A50" s="13"/>
      <c r="B50" s="11"/>
      <c r="C50" s="11"/>
      <c r="D50" s="11"/>
      <c r="E50" s="11"/>
      <c r="F50" s="11"/>
    </row>
    <row r="51" spans="1:7" ht="15">
      <c r="A51" s="13"/>
      <c r="B51" s="11"/>
      <c r="C51" s="11"/>
      <c r="D51" s="11"/>
      <c r="E51" s="11"/>
      <c r="F51" s="11"/>
      <c r="G51" s="8"/>
    </row>
    <row r="52" spans="1:6" ht="15">
      <c r="A52" s="13"/>
      <c r="B52" s="11"/>
      <c r="C52" s="11"/>
      <c r="D52" s="11"/>
      <c r="E52" s="11"/>
      <c r="F52" s="11"/>
    </row>
    <row r="53" spans="1:6" ht="15">
      <c r="A53" s="13"/>
      <c r="B53" s="11"/>
      <c r="C53" s="11"/>
      <c r="D53" s="11"/>
      <c r="E53" s="11"/>
      <c r="F53" s="11"/>
    </row>
    <row r="54" spans="1:6" ht="15">
      <c r="A54" s="13"/>
      <c r="B54" s="11"/>
      <c r="C54" s="11"/>
      <c r="D54" s="11"/>
      <c r="E54" s="11"/>
      <c r="F54" s="11"/>
    </row>
    <row r="55" spans="1:6" ht="15">
      <c r="A55" s="13"/>
      <c r="B55" s="11"/>
      <c r="C55" s="11"/>
      <c r="D55" s="11"/>
      <c r="E55" s="11"/>
      <c r="F55" s="11"/>
    </row>
    <row r="56" spans="1:6" ht="15">
      <c r="A56" s="13"/>
      <c r="B56" s="11"/>
      <c r="C56" s="11"/>
      <c r="D56" s="11"/>
      <c r="E56" s="11"/>
      <c r="F56" s="11"/>
    </row>
    <row r="57" spans="1:6" ht="15">
      <c r="A57" s="13"/>
      <c r="B57" s="11"/>
      <c r="C57" s="11"/>
      <c r="D57" s="11"/>
      <c r="E57" s="11"/>
      <c r="F57" s="11"/>
    </row>
    <row r="58" spans="1:6" ht="15">
      <c r="A58" s="13"/>
      <c r="B58" s="11"/>
      <c r="C58" s="11"/>
      <c r="D58" s="11"/>
      <c r="E58" s="11"/>
      <c r="F58" s="11"/>
    </row>
    <row r="59" spans="1:6" ht="15">
      <c r="A59" s="13"/>
      <c r="B59" s="11"/>
      <c r="C59" s="11"/>
      <c r="D59" s="11"/>
      <c r="E59" s="11"/>
      <c r="F59" s="11"/>
    </row>
    <row r="60" spans="1:6" ht="15">
      <c r="A60" s="13"/>
      <c r="B60" s="11"/>
      <c r="C60" s="11"/>
      <c r="D60" s="11"/>
      <c r="E60" s="11"/>
      <c r="F60" s="11"/>
    </row>
    <row r="61" spans="1:6" ht="15">
      <c r="A61" s="13"/>
      <c r="B61" s="11"/>
      <c r="C61" s="12"/>
      <c r="D61" s="12"/>
      <c r="E61" s="12"/>
      <c r="F61" s="12"/>
    </row>
    <row r="62" spans="1:6" ht="15">
      <c r="A62" s="13"/>
      <c r="B62" s="11"/>
      <c r="C62" s="11"/>
      <c r="D62" s="11"/>
      <c r="E62" s="11"/>
      <c r="F62" s="11"/>
    </row>
  </sheetData>
  <sheetProtection/>
  <mergeCells count="5">
    <mergeCell ref="B6:B7"/>
    <mergeCell ref="C6:E6"/>
    <mergeCell ref="G6:G7"/>
    <mergeCell ref="H6:J6"/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>
    <oddFooter>&amp;C&amp;"-,Cursiva"&amp;K01+049Depto. Estadísticas y Gestión de la Información - Servicio de Salud Osorno</oddFooter>
  </headerFooter>
  <ignoredErrors>
    <ignoredError sqref="H9:I11 H14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Q6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6" sqref="H26"/>
    </sheetView>
  </sheetViews>
  <sheetFormatPr defaultColWidth="11.421875" defaultRowHeight="15"/>
  <cols>
    <col min="1" max="1" width="3.140625" style="0" customWidth="1"/>
    <col min="2" max="2" width="17.421875" style="0" bestFit="1" customWidth="1"/>
    <col min="4" max="5" width="11.421875" style="0" customWidth="1"/>
    <col min="6" max="6" width="11.8515625" style="0" customWidth="1"/>
    <col min="7" max="7" width="17.57421875" style="0" customWidth="1"/>
    <col min="8" max="8" width="13.140625" style="0" customWidth="1"/>
    <col min="9" max="9" width="12.421875" style="0" customWidth="1"/>
  </cols>
  <sheetData>
    <row r="1" spans="2:12" ht="15.75" thickBot="1">
      <c r="B1" s="248" t="s">
        <v>79</v>
      </c>
      <c r="C1" s="249"/>
      <c r="D1" s="249"/>
      <c r="E1" s="249"/>
      <c r="F1" s="249"/>
      <c r="G1" s="249"/>
      <c r="H1" s="249"/>
      <c r="I1" s="249"/>
      <c r="J1" s="250"/>
      <c r="K1" s="2"/>
      <c r="L1" s="2"/>
    </row>
    <row r="3" spans="2:7" ht="15">
      <c r="B3" s="181" t="s">
        <v>67</v>
      </c>
      <c r="C3" s="184" t="s">
        <v>28</v>
      </c>
      <c r="G3" s="213" t="s">
        <v>71</v>
      </c>
    </row>
    <row r="4" spans="2:3" ht="15">
      <c r="B4" s="181" t="s">
        <v>44</v>
      </c>
      <c r="C4" s="185">
        <v>10305</v>
      </c>
    </row>
    <row r="5" spans="14:17" ht="15.75" thickBot="1">
      <c r="N5" s="25"/>
      <c r="O5" s="26"/>
      <c r="P5" s="27"/>
      <c r="Q5" s="27"/>
    </row>
    <row r="6" spans="2:17" ht="29.25" customHeight="1" thickBot="1">
      <c r="B6" s="241" t="s">
        <v>45</v>
      </c>
      <c r="C6" s="243" t="s">
        <v>97</v>
      </c>
      <c r="D6" s="244"/>
      <c r="E6" s="245"/>
      <c r="F6" s="26"/>
      <c r="G6" s="241" t="s">
        <v>45</v>
      </c>
      <c r="H6" s="243" t="s">
        <v>97</v>
      </c>
      <c r="I6" s="244"/>
      <c r="J6" s="245"/>
      <c r="K6" s="28"/>
      <c r="L6" s="28"/>
      <c r="N6" s="29"/>
      <c r="O6" s="30"/>
      <c r="P6" s="30"/>
      <c r="Q6" s="30"/>
    </row>
    <row r="7" spans="2:17" ht="20.25" customHeight="1" thickBot="1">
      <c r="B7" s="242"/>
      <c r="C7" s="146" t="s">
        <v>2</v>
      </c>
      <c r="D7" s="147" t="s">
        <v>3</v>
      </c>
      <c r="E7" s="148" t="s">
        <v>4</v>
      </c>
      <c r="F7" s="90"/>
      <c r="G7" s="242"/>
      <c r="H7" s="146" t="s">
        <v>2</v>
      </c>
      <c r="I7" s="147" t="s">
        <v>3</v>
      </c>
      <c r="J7" s="148" t="s">
        <v>4</v>
      </c>
      <c r="K7" s="31"/>
      <c r="L7" s="31"/>
      <c r="N7" s="32"/>
      <c r="O7" s="33"/>
      <c r="P7" s="33"/>
      <c r="Q7" s="33"/>
    </row>
    <row r="8" spans="2:10" ht="15">
      <c r="B8" s="149" t="s">
        <v>5</v>
      </c>
      <c r="C8" s="3">
        <f>394+0</f>
        <v>394</v>
      </c>
      <c r="D8" s="20">
        <f>405+0</f>
        <v>405</v>
      </c>
      <c r="E8" s="18">
        <f aca="true" t="shared" si="0" ref="E8:E24">SUM(C8:D8)</f>
        <v>799</v>
      </c>
      <c r="F8" s="90"/>
      <c r="G8" s="154" t="s">
        <v>6</v>
      </c>
      <c r="H8" s="4">
        <f>SUM(C8:C9)</f>
        <v>836</v>
      </c>
      <c r="I8" s="18">
        <f>SUM(D8:D9)</f>
        <v>821</v>
      </c>
      <c r="J8" s="18">
        <f>SUM(H8:I8)</f>
        <v>1657</v>
      </c>
    </row>
    <row r="9" spans="2:17" ht="15">
      <c r="B9" s="150" t="s">
        <v>7</v>
      </c>
      <c r="C9" s="3">
        <v>442</v>
      </c>
      <c r="D9" s="20">
        <v>416</v>
      </c>
      <c r="E9" s="3">
        <f t="shared" si="0"/>
        <v>858</v>
      </c>
      <c r="F9" s="90"/>
      <c r="G9" s="155" t="s">
        <v>8</v>
      </c>
      <c r="H9" s="4">
        <f>SUM(C10:C11)</f>
        <v>981</v>
      </c>
      <c r="I9" s="3">
        <f>SUM(D10:D11)</f>
        <v>883</v>
      </c>
      <c r="J9" s="3">
        <f>SUM(H9:I9)</f>
        <v>1864</v>
      </c>
      <c r="K9" s="33"/>
      <c r="L9" s="33"/>
      <c r="N9" s="32"/>
      <c r="O9" s="33"/>
      <c r="P9" s="33"/>
      <c r="Q9" s="33"/>
    </row>
    <row r="10" spans="2:17" ht="15">
      <c r="B10" s="149" t="s">
        <v>60</v>
      </c>
      <c r="C10" s="3">
        <v>444</v>
      </c>
      <c r="D10" s="20">
        <v>399</v>
      </c>
      <c r="E10" s="3">
        <f t="shared" si="0"/>
        <v>843</v>
      </c>
      <c r="F10" s="90"/>
      <c r="G10" s="155" t="s">
        <v>10</v>
      </c>
      <c r="H10" s="4">
        <f>SUM(C12:C20)</f>
        <v>3992</v>
      </c>
      <c r="I10" s="3">
        <f>SUM(D12:D20)</f>
        <v>3793</v>
      </c>
      <c r="J10" s="3">
        <f>SUM(H10:I10)</f>
        <v>7785</v>
      </c>
      <c r="K10" s="33"/>
      <c r="L10" s="33"/>
      <c r="N10" s="32"/>
      <c r="O10" s="33"/>
      <c r="P10" s="33"/>
      <c r="Q10" s="34"/>
    </row>
    <row r="11" spans="2:17" ht="15.75" thickBot="1">
      <c r="B11" s="149" t="s">
        <v>11</v>
      </c>
      <c r="C11" s="3">
        <v>537</v>
      </c>
      <c r="D11" s="20">
        <v>484</v>
      </c>
      <c r="E11" s="3">
        <f t="shared" si="0"/>
        <v>1021</v>
      </c>
      <c r="F11" s="90"/>
      <c r="G11" s="155" t="s">
        <v>12</v>
      </c>
      <c r="H11" s="4">
        <f>SUM(C21:C24)</f>
        <v>841</v>
      </c>
      <c r="I11" s="3">
        <f>SUM(D21:D24)</f>
        <v>935</v>
      </c>
      <c r="J11" s="3">
        <f>SUM(H11:I11)</f>
        <v>1776</v>
      </c>
      <c r="K11" s="33"/>
      <c r="L11" s="33"/>
      <c r="N11" s="32"/>
      <c r="O11" s="33"/>
      <c r="P11" s="33"/>
      <c r="Q11" s="34"/>
    </row>
    <row r="12" spans="2:17" ht="15.75" thickBot="1">
      <c r="B12" s="149" t="s">
        <v>13</v>
      </c>
      <c r="C12" s="3">
        <v>567</v>
      </c>
      <c r="D12" s="20">
        <v>502</v>
      </c>
      <c r="E12" s="3">
        <f t="shared" si="0"/>
        <v>1069</v>
      </c>
      <c r="F12" s="90"/>
      <c r="G12" s="156" t="s">
        <v>14</v>
      </c>
      <c r="H12" s="157">
        <f>SUM(H8:H11)</f>
        <v>6650</v>
      </c>
      <c r="I12" s="152">
        <f>SUM(I8:I11)</f>
        <v>6432</v>
      </c>
      <c r="J12" s="152">
        <f>SUM(J8:J11)</f>
        <v>13082</v>
      </c>
      <c r="K12" s="35"/>
      <c r="L12" s="35"/>
      <c r="N12" s="32"/>
      <c r="O12" s="33"/>
      <c r="P12" s="33"/>
      <c r="Q12" s="34"/>
    </row>
    <row r="13" spans="2:17" ht="15.75" thickBot="1">
      <c r="B13" s="149" t="s">
        <v>15</v>
      </c>
      <c r="C13" s="3">
        <v>466</v>
      </c>
      <c r="D13" s="20">
        <v>462</v>
      </c>
      <c r="E13" s="3">
        <f t="shared" si="0"/>
        <v>928</v>
      </c>
      <c r="F13" s="90"/>
      <c r="N13" s="32"/>
      <c r="O13" s="33"/>
      <c r="P13" s="33"/>
      <c r="Q13" s="34"/>
    </row>
    <row r="14" spans="2:17" ht="15">
      <c r="B14" s="149" t="s">
        <v>16</v>
      </c>
      <c r="C14" s="3">
        <v>439</v>
      </c>
      <c r="D14" s="20">
        <v>398</v>
      </c>
      <c r="E14" s="3">
        <f t="shared" si="0"/>
        <v>837</v>
      </c>
      <c r="F14" s="90"/>
      <c r="G14" s="200" t="s">
        <v>61</v>
      </c>
      <c r="H14" s="158">
        <f>SUM(C12:C16)</f>
        <v>2318</v>
      </c>
      <c r="I14" s="213"/>
      <c r="J14" s="5"/>
      <c r="K14" s="9"/>
      <c r="N14" s="32"/>
      <c r="O14" s="33"/>
      <c r="P14" s="33"/>
      <c r="Q14" s="34"/>
    </row>
    <row r="15" spans="2:17" ht="15">
      <c r="B15" s="149" t="s">
        <v>17</v>
      </c>
      <c r="C15" s="3">
        <v>397</v>
      </c>
      <c r="D15" s="20">
        <v>368</v>
      </c>
      <c r="E15" s="3">
        <f t="shared" si="0"/>
        <v>765</v>
      </c>
      <c r="F15" s="90"/>
      <c r="G15" s="202" t="s">
        <v>62</v>
      </c>
      <c r="H15" s="199">
        <f>SUM(D17:D20)</f>
        <v>1627</v>
      </c>
      <c r="I15" s="213"/>
      <c r="J15" s="5"/>
      <c r="K15" s="9"/>
      <c r="L15" s="21"/>
      <c r="N15" s="32"/>
      <c r="O15" s="33"/>
      <c r="P15" s="33"/>
      <c r="Q15" s="34"/>
    </row>
    <row r="16" spans="2:17" ht="15">
      <c r="B16" s="149" t="s">
        <v>18</v>
      </c>
      <c r="C16" s="3">
        <v>449</v>
      </c>
      <c r="D16" s="20">
        <v>436</v>
      </c>
      <c r="E16" s="3">
        <f t="shared" si="0"/>
        <v>885</v>
      </c>
      <c r="F16" s="90"/>
      <c r="G16" s="214" t="s">
        <v>65</v>
      </c>
      <c r="H16" s="215">
        <f>SUM(E8:E11)</f>
        <v>3521</v>
      </c>
      <c r="I16" s="213"/>
      <c r="J16" s="5"/>
      <c r="K16" s="9"/>
      <c r="L16" s="21"/>
      <c r="N16" s="32"/>
      <c r="O16" s="33"/>
      <c r="P16" s="33"/>
      <c r="Q16" s="34"/>
    </row>
    <row r="17" spans="2:17" ht="15">
      <c r="B17" s="149" t="s">
        <v>19</v>
      </c>
      <c r="C17" s="3">
        <v>498</v>
      </c>
      <c r="D17" s="20">
        <v>478</v>
      </c>
      <c r="E17" s="3">
        <f t="shared" si="0"/>
        <v>976</v>
      </c>
      <c r="F17" s="90"/>
      <c r="G17" s="202" t="s">
        <v>59</v>
      </c>
      <c r="H17" s="199">
        <f>SUM(E21:E24)</f>
        <v>1776</v>
      </c>
      <c r="I17" s="213"/>
      <c r="J17" s="9"/>
      <c r="K17" s="9"/>
      <c r="L17" s="21"/>
      <c r="N17" s="32"/>
      <c r="O17" s="33"/>
      <c r="P17" s="33"/>
      <c r="Q17" s="34"/>
    </row>
    <row r="18" spans="2:17" ht="15">
      <c r="B18" s="149" t="s">
        <v>20</v>
      </c>
      <c r="C18" s="3">
        <v>467</v>
      </c>
      <c r="D18" s="20">
        <v>427</v>
      </c>
      <c r="E18" s="3">
        <f t="shared" si="0"/>
        <v>894</v>
      </c>
      <c r="F18" s="90"/>
      <c r="G18" s="214" t="s">
        <v>57</v>
      </c>
      <c r="H18" s="215">
        <v>181</v>
      </c>
      <c r="I18" s="213"/>
      <c r="J18" s="9"/>
      <c r="K18" s="9"/>
      <c r="L18" s="21"/>
      <c r="N18" s="32"/>
      <c r="O18" s="33"/>
      <c r="P18" s="33"/>
      <c r="Q18" s="34"/>
    </row>
    <row r="19" spans="2:17" ht="15">
      <c r="B19" s="149" t="s">
        <v>21</v>
      </c>
      <c r="C19" s="3">
        <v>398</v>
      </c>
      <c r="D19" s="20">
        <v>384</v>
      </c>
      <c r="E19" s="3">
        <f t="shared" si="0"/>
        <v>782</v>
      </c>
      <c r="F19" s="90"/>
      <c r="G19" s="202" t="s">
        <v>58</v>
      </c>
      <c r="H19" s="199">
        <v>158</v>
      </c>
      <c r="I19" s="213"/>
      <c r="J19" s="9"/>
      <c r="K19" s="9"/>
      <c r="L19" s="21"/>
      <c r="N19" s="32"/>
      <c r="O19" s="33"/>
      <c r="P19" s="33"/>
      <c r="Q19" s="34"/>
    </row>
    <row r="20" spans="2:17" ht="15.75" thickBot="1">
      <c r="B20" s="149" t="s">
        <v>22</v>
      </c>
      <c r="C20" s="3">
        <v>311</v>
      </c>
      <c r="D20" s="20">
        <v>338</v>
      </c>
      <c r="E20" s="3">
        <f t="shared" si="0"/>
        <v>649</v>
      </c>
      <c r="F20" s="90"/>
      <c r="G20" s="201" t="s">
        <v>64</v>
      </c>
      <c r="H20" s="159">
        <f>ROUND(E$20/5,0)</f>
        <v>130</v>
      </c>
      <c r="I20" s="213"/>
      <c r="J20" s="33"/>
      <c r="K20" s="9"/>
      <c r="L20" s="21"/>
      <c r="N20" s="32"/>
      <c r="O20" s="33"/>
      <c r="P20" s="33"/>
      <c r="Q20" s="34"/>
    </row>
    <row r="21" spans="2:17" ht="15" customHeight="1">
      <c r="B21" s="149" t="s">
        <v>23</v>
      </c>
      <c r="C21" s="3">
        <v>273</v>
      </c>
      <c r="D21" s="20">
        <v>282</v>
      </c>
      <c r="E21" s="3">
        <f t="shared" si="0"/>
        <v>555</v>
      </c>
      <c r="F21" s="90"/>
      <c r="G21" s="200" t="s">
        <v>104</v>
      </c>
      <c r="H21" s="158">
        <f>79+86</f>
        <v>165</v>
      </c>
      <c r="K21" s="9"/>
      <c r="L21" s="21"/>
      <c r="N21" s="32"/>
      <c r="O21" s="33"/>
      <c r="P21" s="33"/>
      <c r="Q21" s="34"/>
    </row>
    <row r="22" spans="2:17" ht="15.75" thickBot="1">
      <c r="B22" s="149" t="s">
        <v>24</v>
      </c>
      <c r="C22" s="3">
        <v>220</v>
      </c>
      <c r="D22" s="20">
        <v>216</v>
      </c>
      <c r="E22" s="3">
        <f t="shared" si="0"/>
        <v>436</v>
      </c>
      <c r="F22" s="90"/>
      <c r="G22" s="268" t="s">
        <v>105</v>
      </c>
      <c r="H22" s="198">
        <f>83+90</f>
        <v>173</v>
      </c>
      <c r="K22" s="9"/>
      <c r="N22" s="32"/>
      <c r="O22" s="33"/>
      <c r="P22" s="33"/>
      <c r="Q22" s="34"/>
    </row>
    <row r="23" spans="2:17" ht="15">
      <c r="B23" s="149" t="s">
        <v>25</v>
      </c>
      <c r="C23" s="3">
        <v>157</v>
      </c>
      <c r="D23" s="20">
        <v>176</v>
      </c>
      <c r="E23" s="3">
        <f t="shared" si="0"/>
        <v>333</v>
      </c>
      <c r="F23" s="90"/>
      <c r="K23" s="9"/>
      <c r="N23" s="32"/>
      <c r="O23" s="33"/>
      <c r="P23" s="33"/>
      <c r="Q23" s="34"/>
    </row>
    <row r="24" spans="2:17" ht="15.75" thickBot="1">
      <c r="B24" s="149" t="s">
        <v>26</v>
      </c>
      <c r="C24" s="3">
        <v>191</v>
      </c>
      <c r="D24" s="20">
        <v>261</v>
      </c>
      <c r="E24" s="3">
        <f t="shared" si="0"/>
        <v>452</v>
      </c>
      <c r="F24" s="90"/>
      <c r="K24" s="9"/>
      <c r="N24" s="37"/>
      <c r="O24" s="35"/>
      <c r="P24" s="35"/>
      <c r="Q24" s="35"/>
    </row>
    <row r="25" spans="2:17" ht="15.75" thickBot="1">
      <c r="B25" s="151" t="s">
        <v>14</v>
      </c>
      <c r="C25" s="152">
        <f>SUM(C8:C24)</f>
        <v>6650</v>
      </c>
      <c r="D25" s="153">
        <f>SUM(D8:D24)</f>
        <v>6432</v>
      </c>
      <c r="E25" s="152">
        <f>SUM(E8:E24)</f>
        <v>13082</v>
      </c>
      <c r="F25" s="176"/>
      <c r="G25" s="5"/>
      <c r="H25" s="36"/>
      <c r="I25" s="4"/>
      <c r="J25" s="33"/>
      <c r="K25" s="9"/>
      <c r="N25" s="38"/>
      <c r="O25" s="38"/>
      <c r="P25" s="38"/>
      <c r="Q25" s="38"/>
    </row>
    <row r="26" spans="3:11" ht="15">
      <c r="C26" s="38"/>
      <c r="K26" s="9"/>
    </row>
    <row r="27" spans="2:11" s="164" customFormat="1" ht="15">
      <c r="B27" s="9"/>
      <c r="C27" s="9"/>
      <c r="D27" s="9"/>
      <c r="E27" s="9"/>
      <c r="F27" s="9"/>
      <c r="G27" s="9"/>
      <c r="H27" s="9"/>
      <c r="I27" s="9"/>
      <c r="J27" s="9"/>
      <c r="K27" s="165"/>
    </row>
    <row r="28" spans="2:11" ht="15">
      <c r="B28" s="162"/>
      <c r="C28" s="162"/>
      <c r="D28" s="162"/>
      <c r="E28" s="162"/>
      <c r="K28" s="21"/>
    </row>
    <row r="29" spans="2:13" ht="15">
      <c r="B29" s="162"/>
      <c r="C29" s="162"/>
      <c r="D29" s="162"/>
      <c r="E29" s="162"/>
      <c r="F29" s="40"/>
      <c r="G29" s="40"/>
      <c r="H29" s="41"/>
      <c r="I29" s="41"/>
      <c r="J29" s="40"/>
      <c r="K29" s="38"/>
      <c r="L29" s="40"/>
      <c r="M29" s="40"/>
    </row>
    <row r="30" spans="2:13" ht="15">
      <c r="B30" s="162"/>
      <c r="C30" s="162"/>
      <c r="D30" s="162"/>
      <c r="E30" s="162"/>
      <c r="F30" s="42"/>
      <c r="G30" s="42"/>
      <c r="H30" s="42"/>
      <c r="I30" s="42"/>
      <c r="J30" s="42"/>
      <c r="K30" s="42"/>
      <c r="L30" s="42"/>
      <c r="M30" s="40"/>
    </row>
    <row r="31" spans="2:13" ht="15">
      <c r="B31" s="162"/>
      <c r="C31" s="162"/>
      <c r="D31" s="162"/>
      <c r="E31" s="162"/>
      <c r="F31" s="38"/>
      <c r="G31" s="38"/>
      <c r="H31" s="38"/>
      <c r="I31" s="38"/>
      <c r="J31" s="38"/>
      <c r="K31" s="38"/>
      <c r="L31" s="38"/>
      <c r="M31" s="40"/>
    </row>
    <row r="32" spans="2:13" ht="15">
      <c r="B32" s="25"/>
      <c r="C32" s="26"/>
      <c r="D32" s="27"/>
      <c r="E32" s="27"/>
      <c r="F32" s="26"/>
      <c r="G32" s="27"/>
      <c r="H32" s="38"/>
      <c r="I32" s="43"/>
      <c r="J32" s="44"/>
      <c r="K32" s="28"/>
      <c r="L32" s="28"/>
      <c r="M32" s="40"/>
    </row>
    <row r="33" spans="2:13" ht="15">
      <c r="B33" s="29"/>
      <c r="C33" s="30"/>
      <c r="D33" s="30"/>
      <c r="E33" s="30"/>
      <c r="F33" s="30"/>
      <c r="G33" s="30"/>
      <c r="H33" s="38"/>
      <c r="I33" s="45"/>
      <c r="J33" s="31"/>
      <c r="K33" s="31"/>
      <c r="L33" s="31"/>
      <c r="M33" s="40"/>
    </row>
    <row r="34" spans="2:13" ht="15">
      <c r="B34" s="32"/>
      <c r="C34" s="33"/>
      <c r="D34" s="33"/>
      <c r="E34" s="33"/>
      <c r="F34" s="34"/>
      <c r="G34" s="34"/>
      <c r="H34" s="38"/>
      <c r="I34" s="32"/>
      <c r="J34" s="33"/>
      <c r="K34" s="33"/>
      <c r="L34" s="33"/>
      <c r="M34" s="40"/>
    </row>
    <row r="35" spans="2:13" ht="15">
      <c r="B35" s="46"/>
      <c r="C35" s="33"/>
      <c r="D35" s="33"/>
      <c r="E35" s="33"/>
      <c r="F35" s="34"/>
      <c r="G35" s="34"/>
      <c r="H35" s="38"/>
      <c r="I35" s="47"/>
      <c r="J35" s="33"/>
      <c r="K35" s="33"/>
      <c r="L35" s="33"/>
      <c r="M35" s="40"/>
    </row>
    <row r="36" spans="2:13" ht="15">
      <c r="B36" s="32"/>
      <c r="C36" s="34"/>
      <c r="D36" s="34"/>
      <c r="E36" s="34"/>
      <c r="F36" s="34"/>
      <c r="G36" s="34"/>
      <c r="H36" s="38"/>
      <c r="I36" s="47"/>
      <c r="J36" s="33"/>
      <c r="K36" s="33"/>
      <c r="L36" s="33"/>
      <c r="M36" s="40"/>
    </row>
    <row r="37" spans="2:13" ht="15">
      <c r="B37" s="32"/>
      <c r="C37" s="34"/>
      <c r="D37" s="34"/>
      <c r="E37" s="34"/>
      <c r="F37" s="34"/>
      <c r="G37" s="34"/>
      <c r="H37" s="38"/>
      <c r="I37" s="47"/>
      <c r="J37" s="33"/>
      <c r="K37" s="33"/>
      <c r="L37" s="33"/>
      <c r="M37" s="40"/>
    </row>
    <row r="38" spans="2:13" ht="15">
      <c r="B38" s="32"/>
      <c r="C38" s="34"/>
      <c r="D38" s="34"/>
      <c r="E38" s="34"/>
      <c r="F38" s="34"/>
      <c r="G38" s="34"/>
      <c r="H38" s="38"/>
      <c r="I38" s="32"/>
      <c r="J38" s="35"/>
      <c r="K38" s="35"/>
      <c r="L38" s="35"/>
      <c r="M38" s="40"/>
    </row>
    <row r="39" spans="2:13" ht="15">
      <c r="B39" s="32"/>
      <c r="C39" s="34"/>
      <c r="D39" s="34"/>
      <c r="E39" s="34"/>
      <c r="F39" s="34"/>
      <c r="G39" s="34"/>
      <c r="H39" s="38"/>
      <c r="I39" s="38"/>
      <c r="J39" s="38"/>
      <c r="K39" s="38"/>
      <c r="L39" s="38"/>
      <c r="M39" s="40"/>
    </row>
    <row r="40" spans="2:13" ht="15">
      <c r="B40" s="32"/>
      <c r="C40" s="34"/>
      <c r="D40" s="34"/>
      <c r="E40" s="34"/>
      <c r="F40" s="34"/>
      <c r="G40" s="34"/>
      <c r="H40" s="38"/>
      <c r="I40" s="38"/>
      <c r="J40" s="38"/>
      <c r="K40" s="38"/>
      <c r="L40" s="38"/>
      <c r="M40" s="40"/>
    </row>
    <row r="41" spans="2:13" ht="15">
      <c r="B41" s="32"/>
      <c r="C41" s="34"/>
      <c r="D41" s="34"/>
      <c r="E41" s="34"/>
      <c r="F41" s="34"/>
      <c r="G41" s="34"/>
      <c r="H41" s="38"/>
      <c r="I41" s="38"/>
      <c r="J41" s="38"/>
      <c r="K41" s="38"/>
      <c r="L41" s="38"/>
      <c r="M41" s="40"/>
    </row>
    <row r="42" spans="2:13" ht="15">
      <c r="B42" s="32"/>
      <c r="C42" s="34"/>
      <c r="D42" s="34"/>
      <c r="E42" s="34"/>
      <c r="F42" s="34"/>
      <c r="G42" s="34"/>
      <c r="H42" s="38"/>
      <c r="I42" s="43"/>
      <c r="J42" s="44"/>
      <c r="K42" s="28"/>
      <c r="L42" s="28"/>
      <c r="M42" s="40"/>
    </row>
    <row r="43" spans="2:13" ht="15">
      <c r="B43" s="32"/>
      <c r="C43" s="34"/>
      <c r="D43" s="34"/>
      <c r="E43" s="34"/>
      <c r="F43" s="34"/>
      <c r="G43" s="34"/>
      <c r="H43" s="38"/>
      <c r="I43" s="45"/>
      <c r="J43" s="31"/>
      <c r="K43" s="31"/>
      <c r="L43" s="31"/>
      <c r="M43" s="40"/>
    </row>
    <row r="44" spans="2:13" ht="15">
      <c r="B44" s="32"/>
      <c r="C44" s="34"/>
      <c r="D44" s="34"/>
      <c r="E44" s="34"/>
      <c r="F44" s="34"/>
      <c r="G44" s="34"/>
      <c r="H44" s="38"/>
      <c r="I44" s="32"/>
      <c r="J44" s="33"/>
      <c r="K44" s="33"/>
      <c r="L44" s="33"/>
      <c r="M44" s="40"/>
    </row>
    <row r="45" spans="2:13" ht="15">
      <c r="B45" s="32"/>
      <c r="C45" s="34"/>
      <c r="D45" s="34"/>
      <c r="E45" s="34"/>
      <c r="F45" s="34"/>
      <c r="G45" s="34"/>
      <c r="H45" s="38"/>
      <c r="I45" s="47"/>
      <c r="J45" s="33"/>
      <c r="K45" s="33"/>
      <c r="L45" s="33"/>
      <c r="M45" s="40"/>
    </row>
    <row r="46" spans="2:13" ht="15">
      <c r="B46" s="32"/>
      <c r="C46" s="34"/>
      <c r="D46" s="34"/>
      <c r="E46" s="34"/>
      <c r="F46" s="34"/>
      <c r="G46" s="34"/>
      <c r="H46" s="38"/>
      <c r="I46" s="47"/>
      <c r="J46" s="33"/>
      <c r="K46" s="33"/>
      <c r="L46" s="33"/>
      <c r="M46" s="40"/>
    </row>
    <row r="47" spans="2:13" ht="15">
      <c r="B47" s="32"/>
      <c r="C47" s="34"/>
      <c r="D47" s="34"/>
      <c r="E47" s="34"/>
      <c r="F47" s="34"/>
      <c r="G47" s="34"/>
      <c r="H47" s="38"/>
      <c r="I47" s="47"/>
      <c r="J47" s="33"/>
      <c r="K47" s="33"/>
      <c r="L47" s="33"/>
      <c r="M47" s="40"/>
    </row>
    <row r="48" spans="2:13" ht="15">
      <c r="B48" s="32"/>
      <c r="C48" s="34"/>
      <c r="D48" s="34"/>
      <c r="E48" s="34"/>
      <c r="F48" s="34"/>
      <c r="G48" s="34"/>
      <c r="H48" s="38"/>
      <c r="I48" s="32"/>
      <c r="J48" s="35"/>
      <c r="K48" s="35"/>
      <c r="L48" s="35"/>
      <c r="M48" s="40"/>
    </row>
    <row r="49" spans="2:13" ht="15">
      <c r="B49" s="32"/>
      <c r="C49" s="34"/>
      <c r="D49" s="34"/>
      <c r="E49" s="34"/>
      <c r="F49" s="34"/>
      <c r="G49" s="34"/>
      <c r="H49" s="38"/>
      <c r="I49" s="38"/>
      <c r="J49" s="38"/>
      <c r="K49" s="38"/>
      <c r="L49" s="38"/>
      <c r="M49" s="40"/>
    </row>
    <row r="50" spans="2:13" ht="15">
      <c r="B50" s="32"/>
      <c r="C50" s="34"/>
      <c r="D50" s="34"/>
      <c r="E50" s="34"/>
      <c r="F50" s="34"/>
      <c r="G50" s="34"/>
      <c r="H50" s="38"/>
      <c r="I50" s="38"/>
      <c r="J50" s="38"/>
      <c r="K50" s="38"/>
      <c r="L50" s="38"/>
      <c r="M50" s="40"/>
    </row>
    <row r="51" spans="2:13" ht="15">
      <c r="B51" s="37"/>
      <c r="C51" s="35"/>
      <c r="D51" s="35"/>
      <c r="E51" s="35"/>
      <c r="F51" s="35"/>
      <c r="G51" s="35"/>
      <c r="H51" s="48"/>
      <c r="I51" s="38"/>
      <c r="J51" s="38"/>
      <c r="K51" s="38"/>
      <c r="L51" s="38"/>
      <c r="M51" s="40"/>
    </row>
    <row r="52" spans="2:13" ht="15">
      <c r="B52" s="38"/>
      <c r="C52" s="38"/>
      <c r="D52" s="38"/>
      <c r="E52" s="38"/>
      <c r="F52" s="38"/>
      <c r="G52" s="38"/>
      <c r="H52" s="49"/>
      <c r="I52" s="38"/>
      <c r="J52" s="38"/>
      <c r="K52" s="38"/>
      <c r="L52" s="38"/>
      <c r="M52" s="40"/>
    </row>
    <row r="53" spans="2:12" ht="15">
      <c r="B53" s="21"/>
      <c r="C53" s="9"/>
      <c r="D53" s="9"/>
      <c r="E53" s="9"/>
      <c r="F53" s="9"/>
      <c r="G53" s="21"/>
      <c r="H53" s="21"/>
      <c r="I53" s="21"/>
      <c r="J53" s="21"/>
      <c r="K53" s="21"/>
      <c r="L53" s="21"/>
    </row>
    <row r="54" spans="3:6" ht="15">
      <c r="C54" s="11"/>
      <c r="D54" s="11"/>
      <c r="E54" s="11"/>
      <c r="F54" s="11"/>
    </row>
    <row r="55" spans="3:6" ht="15">
      <c r="C55" s="11"/>
      <c r="D55" s="11"/>
      <c r="E55" s="11"/>
      <c r="F55" s="11"/>
    </row>
    <row r="56" spans="3:6" ht="15">
      <c r="C56" s="11"/>
      <c r="D56" s="11"/>
      <c r="E56" s="11"/>
      <c r="F56" s="11"/>
    </row>
    <row r="57" spans="3:6" ht="15">
      <c r="C57" s="11"/>
      <c r="D57" s="11"/>
      <c r="E57" s="11"/>
      <c r="F57" s="11"/>
    </row>
    <row r="58" spans="3:6" ht="15">
      <c r="C58" s="11"/>
      <c r="D58" s="11"/>
      <c r="E58" s="11"/>
      <c r="F58" s="11"/>
    </row>
    <row r="59" spans="3:6" ht="15">
      <c r="C59" s="11"/>
      <c r="D59" s="11"/>
      <c r="E59" s="11"/>
      <c r="F59" s="11"/>
    </row>
    <row r="60" spans="3:6" ht="15">
      <c r="C60" s="11"/>
      <c r="D60" s="11"/>
      <c r="E60" s="11"/>
      <c r="F60" s="11"/>
    </row>
    <row r="61" spans="3:6" ht="15">
      <c r="C61" s="11"/>
      <c r="D61" s="11"/>
      <c r="E61" s="11"/>
      <c r="F61" s="11"/>
    </row>
    <row r="62" spans="3:6" ht="15">
      <c r="C62" s="11"/>
      <c r="D62" s="11"/>
      <c r="E62" s="11"/>
      <c r="F62" s="11"/>
    </row>
    <row r="63" spans="3:6" ht="15">
      <c r="C63" s="11"/>
      <c r="D63" s="11"/>
      <c r="E63" s="11"/>
      <c r="F63" s="11"/>
    </row>
    <row r="64" spans="3:6" ht="15">
      <c r="C64" s="11"/>
      <c r="D64" s="11"/>
      <c r="E64" s="11"/>
      <c r="F64" s="11"/>
    </row>
    <row r="65" spans="3:6" ht="15">
      <c r="C65" s="11"/>
      <c r="D65" s="11"/>
      <c r="E65" s="11"/>
      <c r="F65" s="11"/>
    </row>
    <row r="66" spans="3:6" ht="15">
      <c r="C66" s="11"/>
      <c r="D66" s="11"/>
      <c r="E66" s="11"/>
      <c r="F66" s="11"/>
    </row>
    <row r="67" spans="3:6" ht="15">
      <c r="C67" s="11"/>
      <c r="D67" s="11"/>
      <c r="E67" s="11"/>
      <c r="F67" s="11"/>
    </row>
    <row r="68" spans="3:6" ht="15">
      <c r="C68" s="11"/>
      <c r="D68" s="11"/>
      <c r="E68" s="11"/>
      <c r="F68" s="11"/>
    </row>
  </sheetData>
  <sheetProtection/>
  <mergeCells count="5">
    <mergeCell ref="B6:B7"/>
    <mergeCell ref="C6:E6"/>
    <mergeCell ref="G6:G7"/>
    <mergeCell ref="H6:J6"/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  <headerFooter>
    <oddFooter>&amp;C&amp;"-,Cursiva"&amp;K01+049Depto. Estadísticas y Gestión de la Información - Servicio de Salud Osorno</oddFooter>
  </headerFooter>
  <ignoredErrors>
    <ignoredError sqref="H9:I11 H14:H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Q70"/>
  <sheetViews>
    <sheetView zoomScaleSheetLayoutView="85" zoomScalePageLayoutView="0" workbookViewId="0" topLeftCell="B1">
      <pane ySplit="4" topLeftCell="A20" activePane="bottomLeft" state="frozen"/>
      <selection pane="topLeft" activeCell="A1" sqref="A1"/>
      <selection pane="bottomLeft" activeCell="H44" sqref="H44"/>
    </sheetView>
  </sheetViews>
  <sheetFormatPr defaultColWidth="11.421875" defaultRowHeight="15"/>
  <cols>
    <col min="1" max="1" width="3.00390625" style="0" customWidth="1"/>
    <col min="2" max="2" width="16.57421875" style="0" customWidth="1"/>
    <col min="6" max="6" width="7.8515625" style="0" customWidth="1"/>
    <col min="7" max="7" width="17.421875" style="0" bestFit="1" customWidth="1"/>
    <col min="8" max="10" width="12.7109375" style="0" customWidth="1"/>
    <col min="11" max="11" width="16.57421875" style="0" customWidth="1"/>
  </cols>
  <sheetData>
    <row r="1" spans="2:10" ht="15.75" thickBot="1">
      <c r="B1" s="248" t="s">
        <v>79</v>
      </c>
      <c r="C1" s="249"/>
      <c r="D1" s="249"/>
      <c r="E1" s="249"/>
      <c r="F1" s="249"/>
      <c r="G1" s="249"/>
      <c r="H1" s="249"/>
      <c r="I1" s="249"/>
      <c r="J1" s="250"/>
    </row>
    <row r="3" spans="2:7" ht="15">
      <c r="B3" s="181" t="s">
        <v>67</v>
      </c>
      <c r="C3" s="184" t="s">
        <v>29</v>
      </c>
      <c r="E3" s="160"/>
      <c r="G3" s="213" t="s">
        <v>73</v>
      </c>
    </row>
    <row r="4" spans="2:10" ht="15">
      <c r="B4" s="181" t="s">
        <v>44</v>
      </c>
      <c r="C4" s="185">
        <v>10302</v>
      </c>
      <c r="G4" s="38"/>
      <c r="H4" s="38"/>
      <c r="I4" s="38"/>
      <c r="J4" s="38"/>
    </row>
    <row r="5" ht="15.75" thickBot="1">
      <c r="F5" s="38"/>
    </row>
    <row r="6" spans="2:10" ht="31.5" customHeight="1" thickBot="1">
      <c r="B6" s="241" t="s">
        <v>45</v>
      </c>
      <c r="C6" s="243" t="s">
        <v>85</v>
      </c>
      <c r="D6" s="244"/>
      <c r="E6" s="245"/>
      <c r="F6" s="187"/>
      <c r="G6" s="241" t="s">
        <v>45</v>
      </c>
      <c r="H6" s="243" t="s">
        <v>85</v>
      </c>
      <c r="I6" s="244"/>
      <c r="J6" s="245"/>
    </row>
    <row r="7" spans="2:10" ht="20.25" customHeight="1" thickBot="1">
      <c r="B7" s="242"/>
      <c r="C7" s="146" t="s">
        <v>2</v>
      </c>
      <c r="D7" s="147" t="s">
        <v>3</v>
      </c>
      <c r="E7" s="148" t="s">
        <v>4</v>
      </c>
      <c r="F7" s="187"/>
      <c r="G7" s="242"/>
      <c r="H7" s="146" t="s">
        <v>2</v>
      </c>
      <c r="I7" s="147" t="s">
        <v>3</v>
      </c>
      <c r="J7" s="148" t="s">
        <v>4</v>
      </c>
    </row>
    <row r="8" spans="2:10" ht="15">
      <c r="B8" s="149" t="s">
        <v>5</v>
      </c>
      <c r="C8" s="3">
        <f>61+1</f>
        <v>62</v>
      </c>
      <c r="D8" s="20">
        <f>75+0</f>
        <v>75</v>
      </c>
      <c r="E8" s="18">
        <f aca="true" t="shared" si="0" ref="E8:E24">SUM(C8:D8)</f>
        <v>137</v>
      </c>
      <c r="F8" s="90"/>
      <c r="G8" s="154" t="s">
        <v>6</v>
      </c>
      <c r="H8" s="4">
        <f>SUM(C8:C9)</f>
        <v>200</v>
      </c>
      <c r="I8" s="18">
        <f>SUM(D8:D9)</f>
        <v>210</v>
      </c>
      <c r="J8" s="18">
        <f>SUM(H8:I8)</f>
        <v>410</v>
      </c>
    </row>
    <row r="9" spans="2:10" ht="15">
      <c r="B9" s="150" t="s">
        <v>7</v>
      </c>
      <c r="C9" s="3">
        <v>138</v>
      </c>
      <c r="D9" s="20">
        <v>135</v>
      </c>
      <c r="E9" s="3">
        <f t="shared" si="0"/>
        <v>273</v>
      </c>
      <c r="F9" s="90"/>
      <c r="G9" s="155" t="s">
        <v>8</v>
      </c>
      <c r="H9" s="4">
        <f>SUM(C10:C11)</f>
        <v>457</v>
      </c>
      <c r="I9" s="3">
        <f>SUM(D10:D11)</f>
        <v>361</v>
      </c>
      <c r="J9" s="3">
        <f>SUM(H9:I9)</f>
        <v>818</v>
      </c>
    </row>
    <row r="10" spans="2:10" ht="15">
      <c r="B10" s="149" t="s">
        <v>60</v>
      </c>
      <c r="C10" s="3">
        <v>226</v>
      </c>
      <c r="D10" s="20">
        <v>180</v>
      </c>
      <c r="E10" s="3">
        <f t="shared" si="0"/>
        <v>406</v>
      </c>
      <c r="F10" s="90"/>
      <c r="G10" s="155" t="s">
        <v>10</v>
      </c>
      <c r="H10" s="4">
        <f>SUM(C12:C20)</f>
        <v>1420</v>
      </c>
      <c r="I10" s="3">
        <f>SUM(D12:D20)</f>
        <v>1149</v>
      </c>
      <c r="J10" s="3">
        <f>SUM(H10:I10)</f>
        <v>2569</v>
      </c>
    </row>
    <row r="11" spans="2:10" ht="15.75" thickBot="1">
      <c r="B11" s="149" t="s">
        <v>11</v>
      </c>
      <c r="C11" s="3">
        <v>231</v>
      </c>
      <c r="D11" s="20">
        <v>181</v>
      </c>
      <c r="E11" s="3">
        <f t="shared" si="0"/>
        <v>412</v>
      </c>
      <c r="F11" s="90"/>
      <c r="G11" s="155" t="s">
        <v>12</v>
      </c>
      <c r="H11" s="4">
        <f>SUM(C21:C24)</f>
        <v>278</v>
      </c>
      <c r="I11" s="3">
        <f>SUM(D21:D24)</f>
        <v>258</v>
      </c>
      <c r="J11" s="3">
        <f>SUM(H11:I11)</f>
        <v>536</v>
      </c>
    </row>
    <row r="12" spans="2:10" ht="15.75" thickBot="1">
      <c r="B12" s="149" t="s">
        <v>13</v>
      </c>
      <c r="C12" s="3">
        <v>174</v>
      </c>
      <c r="D12" s="20">
        <v>122</v>
      </c>
      <c r="E12" s="3">
        <f t="shared" si="0"/>
        <v>296</v>
      </c>
      <c r="F12" s="90"/>
      <c r="G12" s="156" t="s">
        <v>14</v>
      </c>
      <c r="H12" s="157">
        <f>SUM(H8:H11)</f>
        <v>2355</v>
      </c>
      <c r="I12" s="152">
        <f>SUM(I8:I11)</f>
        <v>1978</v>
      </c>
      <c r="J12" s="152">
        <f>SUM(J8:J11)</f>
        <v>4333</v>
      </c>
    </row>
    <row r="13" spans="2:6" ht="15.75" thickBot="1">
      <c r="B13" s="149" t="s">
        <v>15</v>
      </c>
      <c r="C13" s="3">
        <v>139</v>
      </c>
      <c r="D13" s="20">
        <v>103</v>
      </c>
      <c r="E13" s="3">
        <f t="shared" si="0"/>
        <v>242</v>
      </c>
      <c r="F13" s="90"/>
    </row>
    <row r="14" spans="2:17" ht="15">
      <c r="B14" s="149" t="s">
        <v>16</v>
      </c>
      <c r="C14" s="3">
        <v>133</v>
      </c>
      <c r="D14" s="20">
        <v>127</v>
      </c>
      <c r="E14" s="3">
        <f t="shared" si="0"/>
        <v>260</v>
      </c>
      <c r="F14" s="90"/>
      <c r="G14" s="200" t="s">
        <v>61</v>
      </c>
      <c r="H14" s="158">
        <f>SUM(C12:C16)</f>
        <v>771</v>
      </c>
      <c r="I14" s="213"/>
      <c r="J14" s="5"/>
      <c r="O14" s="38"/>
      <c r="P14" s="38"/>
      <c r="Q14" s="38"/>
    </row>
    <row r="15" spans="2:17" ht="15">
      <c r="B15" s="149" t="s">
        <v>17</v>
      </c>
      <c r="C15" s="3">
        <v>150</v>
      </c>
      <c r="D15" s="20">
        <v>126</v>
      </c>
      <c r="E15" s="3">
        <f t="shared" si="0"/>
        <v>276</v>
      </c>
      <c r="F15" s="90"/>
      <c r="G15" s="202" t="s">
        <v>62</v>
      </c>
      <c r="H15" s="199">
        <f>SUM(D17:D20)</f>
        <v>524</v>
      </c>
      <c r="I15" s="213"/>
      <c r="J15" s="5"/>
      <c r="O15" s="38"/>
      <c r="P15" s="38"/>
      <c r="Q15" s="38"/>
    </row>
    <row r="16" spans="2:17" ht="15">
      <c r="B16" s="149" t="s">
        <v>18</v>
      </c>
      <c r="C16" s="3">
        <v>175</v>
      </c>
      <c r="D16" s="20">
        <v>147</v>
      </c>
      <c r="E16" s="3">
        <f t="shared" si="0"/>
        <v>322</v>
      </c>
      <c r="F16" s="90"/>
      <c r="G16" s="214" t="s">
        <v>65</v>
      </c>
      <c r="H16" s="215">
        <f>SUM(E8:E11)</f>
        <v>1228</v>
      </c>
      <c r="I16" s="213"/>
      <c r="J16" s="90"/>
      <c r="M16" s="5"/>
      <c r="N16" s="5"/>
      <c r="O16" s="38"/>
      <c r="P16" s="38"/>
      <c r="Q16" s="38"/>
    </row>
    <row r="17" spans="2:17" ht="15">
      <c r="B17" s="149" t="s">
        <v>19</v>
      </c>
      <c r="C17" s="3">
        <v>167</v>
      </c>
      <c r="D17" s="20">
        <v>154</v>
      </c>
      <c r="E17" s="3">
        <f t="shared" si="0"/>
        <v>321</v>
      </c>
      <c r="F17" s="90"/>
      <c r="G17" s="202" t="s">
        <v>59</v>
      </c>
      <c r="H17" s="199">
        <f>SUM(E21:E24)</f>
        <v>536</v>
      </c>
      <c r="I17" s="213"/>
      <c r="J17" s="90"/>
      <c r="K17" s="32"/>
      <c r="L17" s="33"/>
      <c r="M17" s="33"/>
      <c r="N17" s="33"/>
      <c r="O17" s="38"/>
      <c r="P17" s="52"/>
      <c r="Q17" s="48"/>
    </row>
    <row r="18" spans="2:17" ht="15">
      <c r="B18" s="149" t="s">
        <v>20</v>
      </c>
      <c r="C18" s="3">
        <v>195</v>
      </c>
      <c r="D18" s="20">
        <v>148</v>
      </c>
      <c r="E18" s="3">
        <f t="shared" si="0"/>
        <v>343</v>
      </c>
      <c r="F18" s="90"/>
      <c r="G18" s="214" t="s">
        <v>57</v>
      </c>
      <c r="H18" s="215">
        <v>50</v>
      </c>
      <c r="I18" s="213"/>
      <c r="J18" s="90"/>
      <c r="K18" s="47"/>
      <c r="L18" s="33"/>
      <c r="M18" s="33"/>
      <c r="N18" s="33"/>
      <c r="O18" s="38"/>
      <c r="P18" s="52"/>
      <c r="Q18" s="48"/>
    </row>
    <row r="19" spans="2:17" ht="15">
      <c r="B19" s="149" t="s">
        <v>21</v>
      </c>
      <c r="C19" s="3">
        <v>170</v>
      </c>
      <c r="D19" s="20">
        <v>123</v>
      </c>
      <c r="E19" s="3">
        <f t="shared" si="0"/>
        <v>293</v>
      </c>
      <c r="F19" s="90"/>
      <c r="G19" s="202" t="s">
        <v>58</v>
      </c>
      <c r="H19" s="199">
        <v>96</v>
      </c>
      <c r="I19" s="213"/>
      <c r="J19" s="90"/>
      <c r="O19" s="38"/>
      <c r="P19" s="38"/>
      <c r="Q19" s="38"/>
    </row>
    <row r="20" spans="2:17" ht="15.75" thickBot="1">
      <c r="B20" s="149" t="s">
        <v>22</v>
      </c>
      <c r="C20" s="3">
        <v>117</v>
      </c>
      <c r="D20" s="20">
        <v>99</v>
      </c>
      <c r="E20" s="3">
        <f t="shared" si="0"/>
        <v>216</v>
      </c>
      <c r="F20" s="90"/>
      <c r="G20" s="201" t="s">
        <v>64</v>
      </c>
      <c r="H20" s="159">
        <f>ROUND(E$20/5,0)</f>
        <v>43</v>
      </c>
      <c r="I20" s="213"/>
      <c r="J20" s="90"/>
      <c r="O20" s="38"/>
      <c r="P20" s="38"/>
      <c r="Q20" s="38"/>
    </row>
    <row r="21" spans="2:17" ht="15">
      <c r="B21" s="149" t="s">
        <v>23</v>
      </c>
      <c r="C21" s="3">
        <v>90</v>
      </c>
      <c r="D21" s="20">
        <v>77</v>
      </c>
      <c r="E21" s="3">
        <f t="shared" si="0"/>
        <v>167</v>
      </c>
      <c r="F21" s="90"/>
      <c r="G21" s="200" t="s">
        <v>104</v>
      </c>
      <c r="H21" s="158">
        <f>14+12</f>
        <v>26</v>
      </c>
      <c r="J21" s="90"/>
      <c r="O21" s="38"/>
      <c r="P21" s="38"/>
      <c r="Q21" s="38"/>
    </row>
    <row r="22" spans="2:17" ht="15.75" thickBot="1">
      <c r="B22" s="149" t="s">
        <v>24</v>
      </c>
      <c r="C22" s="3">
        <v>82</v>
      </c>
      <c r="D22" s="20">
        <v>65</v>
      </c>
      <c r="E22" s="3">
        <f t="shared" si="0"/>
        <v>147</v>
      </c>
      <c r="F22" s="90"/>
      <c r="G22" s="268" t="s">
        <v>105</v>
      </c>
      <c r="H22" s="198">
        <f>18+24+1</f>
        <v>43</v>
      </c>
      <c r="J22" s="90"/>
      <c r="O22" s="38"/>
      <c r="P22" s="38"/>
      <c r="Q22" s="38"/>
    </row>
    <row r="23" spans="2:10" ht="15">
      <c r="B23" s="149" t="s">
        <v>25</v>
      </c>
      <c r="C23" s="3">
        <v>50</v>
      </c>
      <c r="D23" s="20">
        <v>54</v>
      </c>
      <c r="E23" s="3">
        <f t="shared" si="0"/>
        <v>104</v>
      </c>
      <c r="F23" s="90"/>
      <c r="J23" s="90"/>
    </row>
    <row r="24" spans="2:10" ht="15.75" thickBot="1">
      <c r="B24" s="149" t="s">
        <v>26</v>
      </c>
      <c r="C24" s="3">
        <v>56</v>
      </c>
      <c r="D24" s="20">
        <v>62</v>
      </c>
      <c r="E24" s="3">
        <f t="shared" si="0"/>
        <v>118</v>
      </c>
      <c r="F24" s="90"/>
      <c r="J24" s="90"/>
    </row>
    <row r="25" spans="2:10" ht="15.75" thickBot="1">
      <c r="B25" s="151" t="s">
        <v>14</v>
      </c>
      <c r="C25" s="152">
        <f>SUM(C8:C24)</f>
        <v>2355</v>
      </c>
      <c r="D25" s="153">
        <f>SUM(D8:D24)</f>
        <v>1978</v>
      </c>
      <c r="E25" s="152">
        <f>SUM(E8:E24)</f>
        <v>4333</v>
      </c>
      <c r="F25" s="90"/>
      <c r="J25" s="90"/>
    </row>
    <row r="26" spans="5:9" ht="18" customHeight="1" thickBot="1">
      <c r="E26" s="85"/>
      <c r="I26" s="88"/>
    </row>
    <row r="27" spans="2:10" ht="28.5" customHeight="1" thickBot="1">
      <c r="B27" s="253" t="s">
        <v>1</v>
      </c>
      <c r="C27" s="243" t="s">
        <v>86</v>
      </c>
      <c r="D27" s="244"/>
      <c r="E27" s="245"/>
      <c r="G27" s="253" t="s">
        <v>1</v>
      </c>
      <c r="H27" s="243" t="s">
        <v>86</v>
      </c>
      <c r="I27" s="244"/>
      <c r="J27" s="245"/>
    </row>
    <row r="28" spans="2:10" ht="15" customHeight="1" thickBot="1">
      <c r="B28" s="242"/>
      <c r="C28" s="146" t="s">
        <v>2</v>
      </c>
      <c r="D28" s="147" t="s">
        <v>3</v>
      </c>
      <c r="E28" s="148" t="s">
        <v>4</v>
      </c>
      <c r="F28" s="9"/>
      <c r="G28" s="251"/>
      <c r="H28" s="146" t="s">
        <v>2</v>
      </c>
      <c r="I28" s="147" t="s">
        <v>3</v>
      </c>
      <c r="J28" s="148" t="s">
        <v>4</v>
      </c>
    </row>
    <row r="29" spans="2:14" ht="15">
      <c r="B29" s="149" t="s">
        <v>5</v>
      </c>
      <c r="C29" s="60">
        <f>168+0</f>
        <v>168</v>
      </c>
      <c r="D29" s="60">
        <f>161+0</f>
        <v>161</v>
      </c>
      <c r="E29" s="86">
        <f aca="true" t="shared" si="1" ref="E29:E45">SUM(C29:D29)</f>
        <v>329</v>
      </c>
      <c r="F29" s="9"/>
      <c r="G29" s="154" t="s">
        <v>6</v>
      </c>
      <c r="H29" s="4">
        <f>SUM(C29:C30)</f>
        <v>339</v>
      </c>
      <c r="I29" s="18">
        <f>SUM(D29:D30)</f>
        <v>318</v>
      </c>
      <c r="J29" s="18">
        <f>SUM(H29:I29)</f>
        <v>657</v>
      </c>
      <c r="M29" s="31"/>
      <c r="N29" s="31"/>
    </row>
    <row r="30" spans="2:10" ht="15">
      <c r="B30" s="150" t="s">
        <v>7</v>
      </c>
      <c r="C30" s="61">
        <v>171</v>
      </c>
      <c r="D30" s="61">
        <v>157</v>
      </c>
      <c r="E30" s="50">
        <f t="shared" si="1"/>
        <v>328</v>
      </c>
      <c r="F30" s="54"/>
      <c r="G30" s="155" t="s">
        <v>8</v>
      </c>
      <c r="H30" s="4">
        <f>SUM(C31:C32)</f>
        <v>412</v>
      </c>
      <c r="I30" s="3">
        <f>SUM(D31:D32)</f>
        <v>341</v>
      </c>
      <c r="J30" s="3">
        <f>SUM(H30:I30)</f>
        <v>753</v>
      </c>
    </row>
    <row r="31" spans="2:13" ht="15">
      <c r="B31" s="149" t="s">
        <v>60</v>
      </c>
      <c r="C31" s="61">
        <v>195</v>
      </c>
      <c r="D31" s="61">
        <v>154</v>
      </c>
      <c r="E31" s="50">
        <f t="shared" si="1"/>
        <v>349</v>
      </c>
      <c r="F31" s="54"/>
      <c r="G31" s="155" t="s">
        <v>10</v>
      </c>
      <c r="H31" s="4">
        <f>SUM(C33:C41)</f>
        <v>1520</v>
      </c>
      <c r="I31" s="3">
        <f>SUM(D33:D41)</f>
        <v>1420</v>
      </c>
      <c r="J31" s="3">
        <f>SUM(H31:I31)</f>
        <v>2940</v>
      </c>
      <c r="K31" s="54"/>
      <c r="L31" s="54"/>
      <c r="M31" s="54"/>
    </row>
    <row r="32" spans="2:13" ht="15.75" thickBot="1">
      <c r="B32" s="149" t="s">
        <v>11</v>
      </c>
      <c r="C32" s="51">
        <v>217</v>
      </c>
      <c r="D32" s="51">
        <v>187</v>
      </c>
      <c r="E32" s="50">
        <f t="shared" si="1"/>
        <v>404</v>
      </c>
      <c r="F32" s="54"/>
      <c r="G32" s="155" t="s">
        <v>12</v>
      </c>
      <c r="H32" s="4">
        <f>SUM(C42:C45)</f>
        <v>263</v>
      </c>
      <c r="I32" s="3">
        <f>SUM(D42:D45)</f>
        <v>268</v>
      </c>
      <c r="J32" s="3">
        <f>SUM(H32:I32)</f>
        <v>531</v>
      </c>
      <c r="K32" s="54"/>
      <c r="L32" s="54"/>
      <c r="M32" s="54"/>
    </row>
    <row r="33" spans="2:13" ht="15.75" thickBot="1">
      <c r="B33" s="149" t="s">
        <v>13</v>
      </c>
      <c r="C33" s="51">
        <v>218</v>
      </c>
      <c r="D33" s="51">
        <v>176</v>
      </c>
      <c r="E33" s="50">
        <f t="shared" si="1"/>
        <v>394</v>
      </c>
      <c r="F33" s="54"/>
      <c r="G33" s="156" t="s">
        <v>14</v>
      </c>
      <c r="H33" s="157">
        <f>SUM(H29:H32)</f>
        <v>2534</v>
      </c>
      <c r="I33" s="152">
        <f>SUM(I29:I32)</f>
        <v>2347</v>
      </c>
      <c r="J33" s="152">
        <f>SUM(J29:J32)</f>
        <v>4881</v>
      </c>
      <c r="K33" s="54"/>
      <c r="L33" s="54"/>
      <c r="M33" s="54"/>
    </row>
    <row r="34" spans="2:13" ht="15.75" thickBot="1">
      <c r="B34" s="149" t="s">
        <v>15</v>
      </c>
      <c r="C34" s="51">
        <v>172</v>
      </c>
      <c r="D34" s="51">
        <v>148</v>
      </c>
      <c r="E34" s="50">
        <f t="shared" si="1"/>
        <v>320</v>
      </c>
      <c r="F34" s="54"/>
      <c r="G34" s="5"/>
      <c r="H34" s="6"/>
      <c r="I34" s="6"/>
      <c r="J34" s="5"/>
      <c r="K34" s="54"/>
      <c r="L34" s="54"/>
      <c r="M34" s="54"/>
    </row>
    <row r="35" spans="2:13" ht="15">
      <c r="B35" s="149" t="s">
        <v>16</v>
      </c>
      <c r="C35" s="51">
        <v>123</v>
      </c>
      <c r="D35" s="51">
        <v>152</v>
      </c>
      <c r="E35" s="50">
        <f t="shared" si="1"/>
        <v>275</v>
      </c>
      <c r="F35" s="54"/>
      <c r="G35" s="200" t="s">
        <v>61</v>
      </c>
      <c r="H35" s="158">
        <f>SUM(C33:C37)</f>
        <v>849</v>
      </c>
      <c r="I35" s="213"/>
      <c r="J35" s="5"/>
      <c r="K35" s="54"/>
      <c r="L35" s="54"/>
      <c r="M35" s="54"/>
    </row>
    <row r="36" spans="2:13" ht="15">
      <c r="B36" s="149" t="s">
        <v>17</v>
      </c>
      <c r="C36" s="51">
        <v>148</v>
      </c>
      <c r="D36" s="51">
        <v>142</v>
      </c>
      <c r="E36" s="50">
        <f t="shared" si="1"/>
        <v>290</v>
      </c>
      <c r="F36" s="54"/>
      <c r="G36" s="202" t="s">
        <v>62</v>
      </c>
      <c r="H36" s="199">
        <f>SUM(D38:D41)</f>
        <v>603</v>
      </c>
      <c r="I36" s="213"/>
      <c r="J36" s="5"/>
      <c r="K36" s="55"/>
      <c r="L36" s="55"/>
      <c r="M36" s="55"/>
    </row>
    <row r="37" spans="2:13" ht="15">
      <c r="B37" s="149" t="s">
        <v>18</v>
      </c>
      <c r="C37" s="51">
        <v>188</v>
      </c>
      <c r="D37" s="51">
        <v>199</v>
      </c>
      <c r="E37" s="50">
        <f t="shared" si="1"/>
        <v>387</v>
      </c>
      <c r="F37" s="54"/>
      <c r="G37" s="214" t="s">
        <v>65</v>
      </c>
      <c r="H37" s="215">
        <f>SUM(E29:E32)</f>
        <v>1410</v>
      </c>
      <c r="I37" s="213"/>
      <c r="J37" s="21"/>
      <c r="K37" s="54"/>
      <c r="L37" s="54"/>
      <c r="M37" s="54"/>
    </row>
    <row r="38" spans="2:13" ht="15">
      <c r="B38" s="149" t="s">
        <v>19</v>
      </c>
      <c r="C38" s="51">
        <v>207</v>
      </c>
      <c r="D38" s="51">
        <v>171</v>
      </c>
      <c r="E38" s="50">
        <f t="shared" si="1"/>
        <v>378</v>
      </c>
      <c r="F38" s="24"/>
      <c r="G38" s="202" t="s">
        <v>59</v>
      </c>
      <c r="H38" s="199">
        <f>SUM(E42:E45)</f>
        <v>531</v>
      </c>
      <c r="I38" s="213"/>
      <c r="J38" s="21"/>
      <c r="K38" s="54"/>
      <c r="L38" s="54"/>
      <c r="M38" s="54"/>
    </row>
    <row r="39" spans="2:13" ht="15">
      <c r="B39" s="149" t="s">
        <v>20</v>
      </c>
      <c r="C39" s="51">
        <v>194</v>
      </c>
      <c r="D39" s="51">
        <v>183</v>
      </c>
      <c r="E39" s="50">
        <f t="shared" si="1"/>
        <v>377</v>
      </c>
      <c r="F39" s="54"/>
      <c r="G39" s="214" t="s">
        <v>57</v>
      </c>
      <c r="H39" s="215">
        <v>56</v>
      </c>
      <c r="I39" s="213"/>
      <c r="J39" s="21"/>
      <c r="K39" s="54"/>
      <c r="L39" s="54"/>
      <c r="M39" s="54"/>
    </row>
    <row r="40" spans="2:13" ht="15">
      <c r="B40" s="149" t="s">
        <v>21</v>
      </c>
      <c r="C40" s="51">
        <v>159</v>
      </c>
      <c r="D40" s="51">
        <v>131</v>
      </c>
      <c r="E40" s="50">
        <f t="shared" si="1"/>
        <v>290</v>
      </c>
      <c r="F40" s="54"/>
      <c r="G40" s="202" t="s">
        <v>58</v>
      </c>
      <c r="H40" s="199">
        <v>66</v>
      </c>
      <c r="I40" s="213"/>
      <c r="J40" s="21"/>
      <c r="K40" s="54"/>
      <c r="L40" s="54"/>
      <c r="M40" s="54"/>
    </row>
    <row r="41" spans="2:13" ht="15.75" thickBot="1">
      <c r="B41" s="149" t="s">
        <v>22</v>
      </c>
      <c r="C41" s="51">
        <v>111</v>
      </c>
      <c r="D41" s="51">
        <v>118</v>
      </c>
      <c r="E41" s="50">
        <f t="shared" si="1"/>
        <v>229</v>
      </c>
      <c r="F41" s="54"/>
      <c r="G41" s="201" t="s">
        <v>64</v>
      </c>
      <c r="H41" s="159">
        <f>ROUND(E$41/5,0)</f>
        <v>46</v>
      </c>
      <c r="I41" s="213"/>
      <c r="J41" s="21"/>
      <c r="K41" s="54"/>
      <c r="L41" s="54"/>
      <c r="M41" s="54"/>
    </row>
    <row r="42" spans="2:13" ht="15">
      <c r="B42" s="149" t="s">
        <v>23</v>
      </c>
      <c r="C42" s="51">
        <v>88</v>
      </c>
      <c r="D42" s="51">
        <v>78</v>
      </c>
      <c r="E42" s="50">
        <f t="shared" si="1"/>
        <v>166</v>
      </c>
      <c r="F42" s="54"/>
      <c r="G42" s="200" t="s">
        <v>104</v>
      </c>
      <c r="H42" s="158">
        <f>37+37</f>
        <v>74</v>
      </c>
      <c r="I42" s="21"/>
      <c r="J42" s="21"/>
      <c r="K42" s="22"/>
      <c r="L42" s="22"/>
      <c r="M42" s="22"/>
    </row>
    <row r="43" spans="2:11" ht="15.75" thickBot="1">
      <c r="B43" s="149" t="s">
        <v>24</v>
      </c>
      <c r="C43" s="51">
        <v>82</v>
      </c>
      <c r="D43" s="51">
        <v>64</v>
      </c>
      <c r="E43" s="50">
        <f t="shared" si="1"/>
        <v>146</v>
      </c>
      <c r="F43" s="54"/>
      <c r="G43" s="268" t="s">
        <v>105</v>
      </c>
      <c r="H43" s="198">
        <f>26+28</f>
        <v>54</v>
      </c>
      <c r="I43" s="21"/>
      <c r="J43" s="21"/>
      <c r="K43" s="21"/>
    </row>
    <row r="44" spans="2:11" ht="15">
      <c r="B44" s="149" t="s">
        <v>25</v>
      </c>
      <c r="C44" s="51">
        <v>40</v>
      </c>
      <c r="D44" s="51">
        <v>63</v>
      </c>
      <c r="E44" s="50">
        <f t="shared" si="1"/>
        <v>103</v>
      </c>
      <c r="F44" s="24"/>
      <c r="G44" s="21"/>
      <c r="H44" s="21"/>
      <c r="I44" s="21"/>
      <c r="J44" s="21"/>
      <c r="K44" s="21"/>
    </row>
    <row r="45" spans="2:11" ht="15.75" thickBot="1">
      <c r="B45" s="149" t="s">
        <v>26</v>
      </c>
      <c r="C45" s="51">
        <v>53</v>
      </c>
      <c r="D45" s="51">
        <v>63</v>
      </c>
      <c r="E45" s="50">
        <f t="shared" si="1"/>
        <v>116</v>
      </c>
      <c r="F45" s="54"/>
      <c r="G45" s="21"/>
      <c r="H45" s="21"/>
      <c r="I45" s="21"/>
      <c r="J45" s="21"/>
      <c r="K45" s="21"/>
    </row>
    <row r="46" spans="2:11" ht="15.75" thickBot="1">
      <c r="B46" s="151" t="s">
        <v>14</v>
      </c>
      <c r="C46" s="152">
        <f>SUM(C29:C45)</f>
        <v>2534</v>
      </c>
      <c r="D46" s="153">
        <f>SUM(D29:D45)</f>
        <v>2347</v>
      </c>
      <c r="E46" s="152">
        <f>SUM(E29:E45)</f>
        <v>4881</v>
      </c>
      <c r="F46" s="54"/>
      <c r="G46" s="21"/>
      <c r="H46" s="21"/>
      <c r="I46" s="21"/>
      <c r="J46" s="21"/>
      <c r="K46" s="21"/>
    </row>
    <row r="47" spans="2:11" ht="15">
      <c r="B47" s="54"/>
      <c r="C47" s="54"/>
      <c r="D47" s="54"/>
      <c r="E47" s="54"/>
      <c r="F47" s="54"/>
      <c r="G47" s="21"/>
      <c r="H47" s="21"/>
      <c r="I47" s="21"/>
      <c r="J47" s="21"/>
      <c r="K47" s="21"/>
    </row>
    <row r="48" spans="2:11" ht="15">
      <c r="B48" s="54"/>
      <c r="C48" s="54"/>
      <c r="D48" s="54"/>
      <c r="E48" s="54"/>
      <c r="F48" s="54"/>
      <c r="G48" s="21"/>
      <c r="H48" s="21"/>
      <c r="I48" s="21"/>
      <c r="J48" s="21"/>
      <c r="K48" s="21"/>
    </row>
    <row r="49" spans="2:11" ht="15">
      <c r="B49" s="53"/>
      <c r="C49" s="53"/>
      <c r="D49" s="54"/>
      <c r="E49" s="53"/>
      <c r="F49" s="53"/>
      <c r="G49" s="21"/>
      <c r="H49" s="21"/>
      <c r="I49" s="21"/>
      <c r="J49" s="21"/>
      <c r="K49" s="21"/>
    </row>
    <row r="50" spans="2:11" ht="15">
      <c r="B50" s="53"/>
      <c r="C50" s="53"/>
      <c r="D50" s="24"/>
      <c r="E50" s="24"/>
      <c r="F50" s="24"/>
      <c r="G50" s="21"/>
      <c r="H50" s="21"/>
      <c r="I50" s="21"/>
      <c r="J50" s="21"/>
      <c r="K50" s="21"/>
    </row>
    <row r="51" spans="2:11" ht="15">
      <c r="B51" s="53"/>
      <c r="C51" s="54"/>
      <c r="D51" s="54"/>
      <c r="E51" s="53"/>
      <c r="F51" s="53"/>
      <c r="G51" s="21"/>
      <c r="H51" s="21"/>
      <c r="I51" s="21"/>
      <c r="J51" s="21"/>
      <c r="K51" s="21"/>
    </row>
    <row r="52" spans="2:11" ht="15">
      <c r="B52" s="53"/>
      <c r="C52" s="54"/>
      <c r="D52" s="54"/>
      <c r="E52" s="53"/>
      <c r="F52" s="53"/>
      <c r="G52" s="21"/>
      <c r="H52" s="21"/>
      <c r="I52" s="21"/>
      <c r="J52" s="21"/>
      <c r="K52" s="21"/>
    </row>
    <row r="53" spans="2:11" ht="15">
      <c r="B53" s="53"/>
      <c r="C53" s="54"/>
      <c r="D53" s="54"/>
      <c r="E53" s="54"/>
      <c r="F53" s="54"/>
      <c r="G53" s="21"/>
      <c r="H53" s="21"/>
      <c r="I53" s="21"/>
      <c r="J53" s="21"/>
      <c r="K53" s="21"/>
    </row>
    <row r="54" spans="2:11" ht="15">
      <c r="B54" s="53"/>
      <c r="C54" s="54"/>
      <c r="D54" s="54"/>
      <c r="E54" s="53"/>
      <c r="F54" s="53"/>
      <c r="G54" s="21"/>
      <c r="H54" s="21"/>
      <c r="I54" s="21"/>
      <c r="J54" s="21"/>
      <c r="K54" s="21"/>
    </row>
    <row r="55" spans="2:11" ht="15">
      <c r="B55" s="53"/>
      <c r="C55" s="54"/>
      <c r="D55" s="54"/>
      <c r="E55" s="53"/>
      <c r="F55" s="53"/>
      <c r="G55" s="21"/>
      <c r="H55" s="21"/>
      <c r="I55" s="21"/>
      <c r="J55" s="21"/>
      <c r="K55" s="21"/>
    </row>
    <row r="56" spans="2:11" ht="15">
      <c r="B56" s="53"/>
      <c r="C56" s="54"/>
      <c r="D56" s="54"/>
      <c r="E56" s="53"/>
      <c r="F56" s="53"/>
      <c r="G56" s="21"/>
      <c r="H56" s="21"/>
      <c r="I56" s="21"/>
      <c r="J56" s="21"/>
      <c r="K56" s="21"/>
    </row>
    <row r="57" spans="2:11" ht="15">
      <c r="B57" s="53"/>
      <c r="C57" s="54"/>
      <c r="D57" s="54"/>
      <c r="E57" s="53"/>
      <c r="F57" s="53"/>
      <c r="G57" s="21"/>
      <c r="H57" s="21"/>
      <c r="I57" s="21"/>
      <c r="J57" s="21"/>
      <c r="K57" s="21"/>
    </row>
    <row r="58" spans="2:11" ht="15">
      <c r="B58" s="53"/>
      <c r="C58" s="54"/>
      <c r="D58" s="54"/>
      <c r="E58" s="53"/>
      <c r="F58" s="53"/>
      <c r="G58" s="21"/>
      <c r="H58" s="21"/>
      <c r="I58" s="21"/>
      <c r="J58" s="21"/>
      <c r="K58" s="21"/>
    </row>
    <row r="59" spans="2:6" ht="15">
      <c r="B59" s="53"/>
      <c r="C59" s="54"/>
      <c r="D59" s="54"/>
      <c r="E59" s="53"/>
      <c r="F59" s="53"/>
    </row>
    <row r="60" spans="2:6" ht="15">
      <c r="B60" s="53"/>
      <c r="C60" s="53"/>
      <c r="D60" s="54"/>
      <c r="E60" s="53"/>
      <c r="F60" s="53"/>
    </row>
    <row r="61" spans="2:6" ht="15">
      <c r="B61" s="53"/>
      <c r="C61" s="54"/>
      <c r="D61" s="54"/>
      <c r="E61" s="53"/>
      <c r="F61" s="53"/>
    </row>
    <row r="62" spans="2:6" ht="15">
      <c r="B62" s="53"/>
      <c r="C62" s="54"/>
      <c r="D62" s="54"/>
      <c r="E62" s="53"/>
      <c r="F62" s="53"/>
    </row>
    <row r="63" spans="2:6" ht="15">
      <c r="B63" s="53"/>
      <c r="C63" s="54"/>
      <c r="D63" s="53"/>
      <c r="E63" s="53"/>
      <c r="F63" s="53"/>
    </row>
    <row r="64" spans="2:6" ht="15">
      <c r="B64" s="53"/>
      <c r="C64" s="54"/>
      <c r="D64" s="54"/>
      <c r="E64" s="53"/>
      <c r="F64" s="53"/>
    </row>
    <row r="65" spans="2:6" ht="15">
      <c r="B65" s="53"/>
      <c r="C65" s="54"/>
      <c r="D65" s="55"/>
      <c r="E65" s="14"/>
      <c r="F65" s="14"/>
    </row>
    <row r="66" spans="2:6" ht="15">
      <c r="B66" s="53"/>
      <c r="C66" s="54"/>
      <c r="D66" s="53"/>
      <c r="E66" s="53"/>
      <c r="F66" s="53"/>
    </row>
    <row r="67" spans="2:6" ht="15">
      <c r="B67" s="21"/>
      <c r="C67" s="21"/>
      <c r="D67" s="4"/>
      <c r="E67" s="21"/>
      <c r="F67" s="21"/>
    </row>
    <row r="68" spans="2:6" ht="15">
      <c r="B68" s="21"/>
      <c r="C68" s="21"/>
      <c r="D68" s="4"/>
      <c r="E68" s="21"/>
      <c r="F68" s="21"/>
    </row>
    <row r="69" spans="2:6" ht="15">
      <c r="B69" s="21"/>
      <c r="C69" s="21"/>
      <c r="D69" s="4"/>
      <c r="E69" s="56"/>
      <c r="F69" s="56"/>
    </row>
    <row r="70" ht="15">
      <c r="D70" s="39"/>
    </row>
  </sheetData>
  <sheetProtection/>
  <mergeCells count="9">
    <mergeCell ref="B27:B28"/>
    <mergeCell ref="G27:G28"/>
    <mergeCell ref="B1:J1"/>
    <mergeCell ref="H27:J27"/>
    <mergeCell ref="B6:B7"/>
    <mergeCell ref="C6:E6"/>
    <mergeCell ref="C27:E27"/>
    <mergeCell ref="G6:G7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>
    <oddFooter>&amp;C&amp;"-,Cursiva"&amp;K01+049Depto. Estadísticas y Gestión de la Información - Servicio de Salud Osorno</oddFooter>
  </headerFooter>
  <ignoredErrors>
    <ignoredError sqref="H30:I32 H35:H36 H9:I11 H14:H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O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3" sqref="H23"/>
    </sheetView>
  </sheetViews>
  <sheetFormatPr defaultColWidth="11.421875" defaultRowHeight="15"/>
  <cols>
    <col min="1" max="1" width="2.7109375" style="0" customWidth="1"/>
    <col min="2" max="2" width="16.7109375" style="0" customWidth="1"/>
    <col min="3" max="3" width="12.421875" style="0" customWidth="1"/>
    <col min="6" max="6" width="9.7109375" style="0" customWidth="1"/>
    <col min="7" max="7" width="16.8515625" style="0" customWidth="1"/>
  </cols>
  <sheetData>
    <row r="1" spans="2:12" ht="15.75" thickBot="1">
      <c r="B1" s="248" t="s">
        <v>79</v>
      </c>
      <c r="C1" s="249"/>
      <c r="D1" s="249"/>
      <c r="E1" s="249"/>
      <c r="F1" s="249"/>
      <c r="G1" s="249"/>
      <c r="H1" s="249"/>
      <c r="I1" s="249"/>
      <c r="J1" s="250"/>
      <c r="K1" s="2"/>
      <c r="L1" s="2"/>
    </row>
    <row r="3" spans="2:7" ht="15">
      <c r="B3" s="181" t="s">
        <v>67</v>
      </c>
      <c r="C3" s="184" t="s">
        <v>30</v>
      </c>
      <c r="D3" s="160"/>
      <c r="G3" s="213" t="s">
        <v>76</v>
      </c>
    </row>
    <row r="4" spans="2:3" ht="15">
      <c r="B4" s="181" t="s">
        <v>44</v>
      </c>
      <c r="C4" s="185">
        <v>10304</v>
      </c>
    </row>
    <row r="5" ht="15.75" thickBot="1"/>
    <row r="6" spans="2:10" ht="27" customHeight="1" thickBot="1">
      <c r="B6" s="241" t="s">
        <v>45</v>
      </c>
      <c r="C6" s="243" t="s">
        <v>84</v>
      </c>
      <c r="D6" s="244"/>
      <c r="E6" s="245"/>
      <c r="G6" s="241" t="s">
        <v>45</v>
      </c>
      <c r="H6" s="243" t="s">
        <v>84</v>
      </c>
      <c r="I6" s="244"/>
      <c r="J6" s="245"/>
    </row>
    <row r="7" spans="2:10" ht="15.75" thickBot="1">
      <c r="B7" s="242"/>
      <c r="C7" s="146" t="s">
        <v>2</v>
      </c>
      <c r="D7" s="147" t="s">
        <v>3</v>
      </c>
      <c r="E7" s="148" t="s">
        <v>4</v>
      </c>
      <c r="F7" s="90"/>
      <c r="G7" s="242"/>
      <c r="H7" s="146" t="s">
        <v>2</v>
      </c>
      <c r="I7" s="147" t="s">
        <v>3</v>
      </c>
      <c r="J7" s="148" t="s">
        <v>4</v>
      </c>
    </row>
    <row r="8" spans="2:10" ht="15">
      <c r="B8" s="149" t="s">
        <v>5</v>
      </c>
      <c r="C8" s="18">
        <f>381+0</f>
        <v>381</v>
      </c>
      <c r="D8" s="18">
        <f>395+0</f>
        <v>395</v>
      </c>
      <c r="E8" s="18">
        <f aca="true" t="shared" si="0" ref="E8:E24">SUM(C8:D8)</f>
        <v>776</v>
      </c>
      <c r="F8" s="90"/>
      <c r="G8" s="154" t="s">
        <v>6</v>
      </c>
      <c r="H8" s="4">
        <f>SUM(C8:C9)</f>
        <v>766</v>
      </c>
      <c r="I8" s="18">
        <f>SUM(D8:D9)</f>
        <v>785</v>
      </c>
      <c r="J8" s="18">
        <f>SUM(H8:I8)</f>
        <v>1551</v>
      </c>
    </row>
    <row r="9" spans="2:10" ht="15">
      <c r="B9" s="150" t="s">
        <v>7</v>
      </c>
      <c r="C9" s="3">
        <v>385</v>
      </c>
      <c r="D9" s="3">
        <v>390</v>
      </c>
      <c r="E9" s="3">
        <f t="shared" si="0"/>
        <v>775</v>
      </c>
      <c r="F9" s="90"/>
      <c r="G9" s="155" t="s">
        <v>8</v>
      </c>
      <c r="H9" s="4">
        <f>SUM(C10:C11)</f>
        <v>947</v>
      </c>
      <c r="I9" s="3">
        <f>SUM(D10:D11)</f>
        <v>890</v>
      </c>
      <c r="J9" s="3">
        <f>SUM(H9:I9)</f>
        <v>1837</v>
      </c>
    </row>
    <row r="10" spans="2:10" ht="15">
      <c r="B10" s="149" t="s">
        <v>60</v>
      </c>
      <c r="C10" s="3">
        <v>422</v>
      </c>
      <c r="D10" s="3">
        <v>418</v>
      </c>
      <c r="E10" s="3">
        <f t="shared" si="0"/>
        <v>840</v>
      </c>
      <c r="F10" s="90"/>
      <c r="G10" s="155" t="s">
        <v>10</v>
      </c>
      <c r="H10" s="4">
        <f>SUM(C12:C20)</f>
        <v>3686</v>
      </c>
      <c r="I10" s="3">
        <f>SUM(D12:D20)</f>
        <v>3491</v>
      </c>
      <c r="J10" s="3">
        <f>SUM(H10:I10)</f>
        <v>7177</v>
      </c>
    </row>
    <row r="11" spans="2:10" ht="15.75" thickBot="1">
      <c r="B11" s="149" t="s">
        <v>11</v>
      </c>
      <c r="C11" s="3">
        <v>525</v>
      </c>
      <c r="D11" s="3">
        <v>472</v>
      </c>
      <c r="E11" s="3">
        <f t="shared" si="0"/>
        <v>997</v>
      </c>
      <c r="F11" s="90"/>
      <c r="G11" s="155" t="s">
        <v>12</v>
      </c>
      <c r="H11" s="4">
        <f>SUM(C21:C24)</f>
        <v>768</v>
      </c>
      <c r="I11" s="3">
        <f>SUM(D21:D24)</f>
        <v>759</v>
      </c>
      <c r="J11" s="3">
        <f>SUM(H11:I11)</f>
        <v>1527</v>
      </c>
    </row>
    <row r="12" spans="2:10" ht="15.75" thickBot="1">
      <c r="B12" s="149" t="s">
        <v>13</v>
      </c>
      <c r="C12" s="3">
        <v>516</v>
      </c>
      <c r="D12" s="3">
        <v>455</v>
      </c>
      <c r="E12" s="3">
        <f t="shared" si="0"/>
        <v>971</v>
      </c>
      <c r="F12" s="90"/>
      <c r="G12" s="156" t="s">
        <v>14</v>
      </c>
      <c r="H12" s="157">
        <f>SUM(H8:H11)</f>
        <v>6167</v>
      </c>
      <c r="I12" s="152">
        <f>SUM(I8:I11)</f>
        <v>5925</v>
      </c>
      <c r="J12" s="152">
        <f>SUM(J8:J11)</f>
        <v>12092</v>
      </c>
    </row>
    <row r="13" spans="2:6" ht="15.75" thickBot="1">
      <c r="B13" s="149" t="s">
        <v>15</v>
      </c>
      <c r="C13" s="3">
        <v>423</v>
      </c>
      <c r="D13" s="3">
        <v>386</v>
      </c>
      <c r="E13" s="3">
        <f t="shared" si="0"/>
        <v>809</v>
      </c>
      <c r="F13" s="90"/>
    </row>
    <row r="14" spans="2:15" ht="15">
      <c r="B14" s="149" t="s">
        <v>16</v>
      </c>
      <c r="C14" s="3">
        <v>361</v>
      </c>
      <c r="D14" s="3">
        <v>368</v>
      </c>
      <c r="E14" s="3">
        <f t="shared" si="0"/>
        <v>729</v>
      </c>
      <c r="F14" s="90"/>
      <c r="G14" s="200" t="s">
        <v>61</v>
      </c>
      <c r="H14" s="158">
        <f>SUM(C12:C16)</f>
        <v>2202</v>
      </c>
      <c r="I14" s="213"/>
      <c r="J14" s="5"/>
      <c r="K14" s="21"/>
      <c r="L14" s="21"/>
      <c r="M14" s="21"/>
      <c r="N14" s="21"/>
      <c r="O14" s="21"/>
    </row>
    <row r="15" spans="2:15" ht="15">
      <c r="B15" s="149" t="s">
        <v>17</v>
      </c>
      <c r="C15" s="3">
        <v>442</v>
      </c>
      <c r="D15" s="3">
        <v>400</v>
      </c>
      <c r="E15" s="3">
        <f t="shared" si="0"/>
        <v>842</v>
      </c>
      <c r="F15" s="90"/>
      <c r="G15" s="202" t="s">
        <v>62</v>
      </c>
      <c r="H15" s="199">
        <f>SUM(D17:D20)</f>
        <v>1456</v>
      </c>
      <c r="I15" s="213"/>
      <c r="J15" s="5"/>
      <c r="K15" s="21"/>
      <c r="L15" s="9"/>
      <c r="M15" s="9"/>
      <c r="N15" s="4"/>
      <c r="O15" s="21"/>
    </row>
    <row r="16" spans="2:15" ht="15">
      <c r="B16" s="149" t="s">
        <v>18</v>
      </c>
      <c r="C16" s="3">
        <v>460</v>
      </c>
      <c r="D16" s="3">
        <v>426</v>
      </c>
      <c r="E16" s="3">
        <f t="shared" si="0"/>
        <v>886</v>
      </c>
      <c r="F16" s="90"/>
      <c r="G16" s="214" t="s">
        <v>65</v>
      </c>
      <c r="H16" s="215">
        <f>SUM(E8:E11)</f>
        <v>3388</v>
      </c>
      <c r="I16" s="213"/>
      <c r="J16" s="5"/>
      <c r="K16" s="21"/>
      <c r="L16" s="9"/>
      <c r="M16" s="9"/>
      <c r="N16" s="4"/>
      <c r="O16" s="21"/>
    </row>
    <row r="17" spans="2:15" ht="15">
      <c r="B17" s="149" t="s">
        <v>19</v>
      </c>
      <c r="C17" s="3">
        <v>451</v>
      </c>
      <c r="D17" s="3">
        <v>439</v>
      </c>
      <c r="E17" s="3">
        <f t="shared" si="0"/>
        <v>890</v>
      </c>
      <c r="F17" s="90"/>
      <c r="G17" s="202" t="s">
        <v>59</v>
      </c>
      <c r="H17" s="199">
        <f>SUM(E21:E24)</f>
        <v>1527</v>
      </c>
      <c r="I17" s="213"/>
      <c r="J17" s="4"/>
      <c r="K17" s="21"/>
      <c r="L17" s="9"/>
      <c r="M17" s="9"/>
      <c r="N17" s="4"/>
      <c r="O17" s="21"/>
    </row>
    <row r="18" spans="2:15" ht="15">
      <c r="B18" s="149" t="s">
        <v>20</v>
      </c>
      <c r="C18" s="3">
        <v>412</v>
      </c>
      <c r="D18" s="3">
        <v>436</v>
      </c>
      <c r="E18" s="3">
        <f t="shared" si="0"/>
        <v>848</v>
      </c>
      <c r="F18" s="90"/>
      <c r="G18" s="214" t="s">
        <v>57</v>
      </c>
      <c r="H18" s="215">
        <v>161</v>
      </c>
      <c r="I18" s="213"/>
      <c r="J18" s="4"/>
      <c r="K18" s="21"/>
      <c r="L18" s="9"/>
      <c r="M18" s="9"/>
      <c r="N18" s="4"/>
      <c r="O18" s="21"/>
    </row>
    <row r="19" spans="2:15" ht="15">
      <c r="B19" s="149" t="s">
        <v>21</v>
      </c>
      <c r="C19" s="3">
        <v>351</v>
      </c>
      <c r="D19" s="3">
        <v>330</v>
      </c>
      <c r="E19" s="3">
        <f t="shared" si="0"/>
        <v>681</v>
      </c>
      <c r="F19" s="90"/>
      <c r="G19" s="202" t="s">
        <v>58</v>
      </c>
      <c r="H19" s="199">
        <v>169</v>
      </c>
      <c r="I19" s="213"/>
      <c r="J19" s="4"/>
      <c r="K19" s="21"/>
      <c r="L19" s="21"/>
      <c r="M19" s="21"/>
      <c r="N19" s="22"/>
      <c r="O19" s="21"/>
    </row>
    <row r="20" spans="2:15" ht="15.75" thickBot="1">
      <c r="B20" s="149" t="s">
        <v>22</v>
      </c>
      <c r="C20" s="3">
        <v>270</v>
      </c>
      <c r="D20" s="3">
        <v>251</v>
      </c>
      <c r="E20" s="3">
        <f t="shared" si="0"/>
        <v>521</v>
      </c>
      <c r="F20" s="90"/>
      <c r="G20" s="201" t="s">
        <v>64</v>
      </c>
      <c r="H20" s="159">
        <f>ROUND(E$20/5,0)</f>
        <v>104</v>
      </c>
      <c r="I20" s="213"/>
      <c r="J20" s="4"/>
      <c r="K20" s="21"/>
      <c r="L20" s="21"/>
      <c r="M20" s="21"/>
      <c r="N20" s="21"/>
      <c r="O20" s="21"/>
    </row>
    <row r="21" spans="2:15" ht="15" customHeight="1">
      <c r="B21" s="149" t="s">
        <v>23</v>
      </c>
      <c r="C21" s="3">
        <v>260</v>
      </c>
      <c r="D21" s="3">
        <v>241</v>
      </c>
      <c r="E21" s="3">
        <f t="shared" si="0"/>
        <v>501</v>
      </c>
      <c r="F21" s="90"/>
      <c r="G21" s="200" t="s">
        <v>104</v>
      </c>
      <c r="H21" s="158">
        <f>78+99</f>
        <v>177</v>
      </c>
      <c r="I21" s="9"/>
      <c r="J21" s="4"/>
      <c r="K21" s="21"/>
      <c r="L21" s="21"/>
      <c r="M21" s="21"/>
      <c r="N21" s="21"/>
      <c r="O21" s="21"/>
    </row>
    <row r="22" spans="2:15" ht="15.75" thickBot="1">
      <c r="B22" s="149" t="s">
        <v>24</v>
      </c>
      <c r="C22" s="3">
        <v>201</v>
      </c>
      <c r="D22" s="3">
        <v>187</v>
      </c>
      <c r="E22" s="3">
        <f t="shared" si="0"/>
        <v>388</v>
      </c>
      <c r="F22" s="90"/>
      <c r="G22" s="268" t="s">
        <v>105</v>
      </c>
      <c r="H22" s="198">
        <f>88+75</f>
        <v>163</v>
      </c>
      <c r="I22" s="9"/>
      <c r="J22" s="4"/>
      <c r="K22" s="21"/>
      <c r="L22" s="21"/>
      <c r="M22" s="21"/>
      <c r="N22" s="21"/>
      <c r="O22" s="21"/>
    </row>
    <row r="23" spans="2:15" ht="15">
      <c r="B23" s="149" t="s">
        <v>25</v>
      </c>
      <c r="C23" s="3">
        <v>135</v>
      </c>
      <c r="D23" s="3">
        <v>135</v>
      </c>
      <c r="E23" s="3">
        <f t="shared" si="0"/>
        <v>270</v>
      </c>
      <c r="F23" s="90"/>
      <c r="G23" s="9"/>
      <c r="H23" s="9"/>
      <c r="I23" s="9"/>
      <c r="J23" s="4"/>
      <c r="K23" s="21"/>
      <c r="L23" s="21"/>
      <c r="M23" s="21"/>
      <c r="N23" s="21"/>
      <c r="O23" s="21"/>
    </row>
    <row r="24" spans="2:10" ht="15.75" thickBot="1">
      <c r="B24" s="149" t="s">
        <v>26</v>
      </c>
      <c r="C24" s="3">
        <v>172</v>
      </c>
      <c r="D24" s="3">
        <v>196</v>
      </c>
      <c r="E24" s="3">
        <f t="shared" si="0"/>
        <v>368</v>
      </c>
      <c r="F24" s="90"/>
      <c r="G24" s="9"/>
      <c r="H24" s="9"/>
      <c r="I24" s="9"/>
      <c r="J24" s="4"/>
    </row>
    <row r="25" spans="2:10" ht="15.75" thickBot="1">
      <c r="B25" s="151" t="s">
        <v>14</v>
      </c>
      <c r="C25" s="152">
        <f>SUM(C8:C24)</f>
        <v>6167</v>
      </c>
      <c r="D25" s="153">
        <f>SUM(D8:D24)</f>
        <v>5925</v>
      </c>
      <c r="E25" s="152">
        <f>SUM(E8:E24)</f>
        <v>12092</v>
      </c>
      <c r="F25" s="90"/>
      <c r="G25" s="4"/>
      <c r="H25" s="4"/>
      <c r="I25" s="9"/>
      <c r="J25" s="11"/>
    </row>
    <row r="26" spans="2:9" ht="15">
      <c r="B26" s="21"/>
      <c r="C26" s="9"/>
      <c r="D26" s="9"/>
      <c r="E26" s="4"/>
      <c r="G26" s="9"/>
      <c r="H26" s="4"/>
      <c r="I26" s="21"/>
    </row>
    <row r="27" spans="2:9" ht="15">
      <c r="B27" s="23"/>
      <c r="C27" s="9"/>
      <c r="D27" s="9"/>
      <c r="E27" s="4"/>
      <c r="F27" s="23"/>
      <c r="G27" s="57"/>
      <c r="H27" s="22"/>
      <c r="I27" s="21"/>
    </row>
    <row r="28" spans="2:9" ht="15">
      <c r="B28" s="23"/>
      <c r="C28" s="9"/>
      <c r="D28" s="9"/>
      <c r="E28" s="4"/>
      <c r="F28" s="23"/>
      <c r="G28" s="23"/>
      <c r="H28" s="21"/>
      <c r="I28" s="21"/>
    </row>
    <row r="29" spans="2:8" ht="15">
      <c r="B29" s="23"/>
      <c r="C29" s="9"/>
      <c r="D29" s="9"/>
      <c r="E29" s="4"/>
      <c r="F29" s="23"/>
      <c r="G29" s="23"/>
      <c r="H29" s="21"/>
    </row>
    <row r="30" spans="2:8" ht="15">
      <c r="B30" s="23"/>
      <c r="C30" s="9"/>
      <c r="D30" s="23"/>
      <c r="E30" s="4"/>
      <c r="F30" s="23"/>
      <c r="G30" s="23"/>
      <c r="H30" s="21"/>
    </row>
    <row r="31" spans="2:8" ht="15">
      <c r="B31" s="23"/>
      <c r="C31" s="23"/>
      <c r="D31" s="23"/>
      <c r="E31" s="4"/>
      <c r="F31" s="23"/>
      <c r="G31" s="23"/>
      <c r="H31" s="21"/>
    </row>
    <row r="32" spans="2:8" ht="15">
      <c r="B32" s="23"/>
      <c r="C32" s="23"/>
      <c r="D32" s="23"/>
      <c r="E32" s="4"/>
      <c r="F32" s="23"/>
      <c r="G32" s="23"/>
      <c r="H32" s="21"/>
    </row>
    <row r="33" spans="2:8" ht="15">
      <c r="B33" s="23"/>
      <c r="C33" s="4"/>
      <c r="D33" s="23"/>
      <c r="E33" s="4"/>
      <c r="F33" s="23"/>
      <c r="G33" s="23"/>
      <c r="H33" s="21"/>
    </row>
    <row r="34" spans="2:8" ht="15">
      <c r="B34" s="23"/>
      <c r="C34" s="4"/>
      <c r="D34" s="23"/>
      <c r="E34" s="4"/>
      <c r="F34" s="23"/>
      <c r="G34" s="23"/>
      <c r="H34" s="21"/>
    </row>
    <row r="35" spans="2:8" ht="15">
      <c r="B35" s="23"/>
      <c r="C35" s="4"/>
      <c r="D35" s="58"/>
      <c r="E35" s="56"/>
      <c r="F35" s="58"/>
      <c r="G35" s="58"/>
      <c r="H35" s="21"/>
    </row>
    <row r="36" spans="2:8" ht="15">
      <c r="B36" s="23"/>
      <c r="C36" s="4"/>
      <c r="D36" s="23"/>
      <c r="E36" s="4"/>
      <c r="F36" s="23"/>
      <c r="G36" s="23"/>
      <c r="H36" s="21"/>
    </row>
    <row r="37" spans="2:8" ht="15">
      <c r="B37" s="23"/>
      <c r="C37" s="4"/>
      <c r="D37" s="23"/>
      <c r="E37" s="4"/>
      <c r="F37" s="23"/>
      <c r="G37" s="23"/>
      <c r="H37" s="21"/>
    </row>
    <row r="38" spans="2:8" ht="15">
      <c r="B38" s="23"/>
      <c r="C38" s="4"/>
      <c r="D38" s="23"/>
      <c r="E38" s="4"/>
      <c r="F38" s="23"/>
      <c r="G38" s="23"/>
      <c r="H38" s="21"/>
    </row>
    <row r="39" spans="2:8" ht="15">
      <c r="B39" s="23"/>
      <c r="C39" s="4"/>
      <c r="D39" s="23"/>
      <c r="E39" s="4"/>
      <c r="F39" s="23"/>
      <c r="G39" s="23"/>
      <c r="H39" s="21"/>
    </row>
    <row r="40" spans="2:8" ht="15">
      <c r="B40" s="23"/>
      <c r="C40" s="4"/>
      <c r="D40" s="23"/>
      <c r="E40" s="4"/>
      <c r="F40" s="23"/>
      <c r="G40" s="23"/>
      <c r="H40" s="21"/>
    </row>
    <row r="41" spans="2:8" ht="15">
      <c r="B41" s="23"/>
      <c r="C41" s="4"/>
      <c r="D41" s="58"/>
      <c r="E41" s="24"/>
      <c r="F41" s="58"/>
      <c r="G41" s="58"/>
      <c r="H41" s="21"/>
    </row>
    <row r="42" spans="2:8" ht="15">
      <c r="B42" s="23"/>
      <c r="C42" s="4"/>
      <c r="D42" s="23"/>
      <c r="E42" s="57"/>
      <c r="F42" s="23"/>
      <c r="G42" s="23"/>
      <c r="H42" s="21"/>
    </row>
    <row r="43" spans="2:8" ht="15">
      <c r="B43" s="23"/>
      <c r="C43" s="4"/>
      <c r="D43" s="23"/>
      <c r="E43" s="23"/>
      <c r="F43" s="23"/>
      <c r="G43" s="23"/>
      <c r="H43" s="21"/>
    </row>
    <row r="44" spans="2:8" ht="15">
      <c r="B44" s="23"/>
      <c r="C44" s="4"/>
      <c r="D44" s="23"/>
      <c r="E44" s="23"/>
      <c r="F44" s="23"/>
      <c r="G44" s="23"/>
      <c r="H44" s="21"/>
    </row>
    <row r="45" spans="2:8" ht="15">
      <c r="B45" s="23"/>
      <c r="C45" s="57"/>
      <c r="D45" s="23"/>
      <c r="E45" s="23"/>
      <c r="F45" s="23"/>
      <c r="G45" s="23"/>
      <c r="H45" s="21"/>
    </row>
    <row r="46" spans="2:8" ht="15">
      <c r="B46" s="23"/>
      <c r="C46" s="23"/>
      <c r="D46" s="23"/>
      <c r="E46" s="23"/>
      <c r="F46" s="23"/>
      <c r="G46" s="23"/>
      <c r="H46" s="21"/>
    </row>
    <row r="47" spans="2:8" ht="15">
      <c r="B47" s="23"/>
      <c r="C47" s="23"/>
      <c r="D47" s="58"/>
      <c r="E47" s="56"/>
      <c r="F47" s="58"/>
      <c r="G47" s="58"/>
      <c r="H47" s="21"/>
    </row>
    <row r="48" spans="2:8" ht="15">
      <c r="B48" s="23"/>
      <c r="C48" s="23"/>
      <c r="D48" s="23"/>
      <c r="E48" s="23"/>
      <c r="F48" s="23"/>
      <c r="G48" s="23"/>
      <c r="H48" s="21"/>
    </row>
    <row r="49" spans="2:8" ht="15">
      <c r="B49" s="23"/>
      <c r="C49" s="23"/>
      <c r="D49" s="23"/>
      <c r="E49" s="23"/>
      <c r="F49" s="23"/>
      <c r="G49" s="23"/>
      <c r="H49" s="21"/>
    </row>
    <row r="50" spans="2:8" ht="15">
      <c r="B50" s="23"/>
      <c r="C50" s="23"/>
      <c r="D50" s="23"/>
      <c r="E50" s="23"/>
      <c r="F50" s="23"/>
      <c r="G50" s="23"/>
      <c r="H50" s="21"/>
    </row>
    <row r="51" spans="2:8" ht="15">
      <c r="B51" s="23"/>
      <c r="C51" s="23"/>
      <c r="D51" s="23"/>
      <c r="E51" s="23"/>
      <c r="F51" s="23"/>
      <c r="G51" s="23"/>
      <c r="H51" s="21"/>
    </row>
    <row r="52" spans="2:8" ht="15">
      <c r="B52" s="23"/>
      <c r="C52" s="23"/>
      <c r="D52" s="23"/>
      <c r="E52" s="23"/>
      <c r="F52" s="23"/>
      <c r="G52" s="23"/>
      <c r="H52" s="21"/>
    </row>
    <row r="53" spans="2:8" ht="15">
      <c r="B53" s="23"/>
      <c r="C53" s="23"/>
      <c r="D53" s="23"/>
      <c r="E53" s="23"/>
      <c r="F53" s="23"/>
      <c r="G53" s="23"/>
      <c r="H53" s="21"/>
    </row>
    <row r="54" spans="2:8" ht="15">
      <c r="B54" s="23"/>
      <c r="C54" s="23"/>
      <c r="D54" s="23"/>
      <c r="E54" s="23"/>
      <c r="F54" s="23"/>
      <c r="G54" s="23"/>
      <c r="H54" s="21"/>
    </row>
    <row r="55" spans="2:8" ht="15">
      <c r="B55" s="23"/>
      <c r="C55" s="23"/>
      <c r="D55" s="23"/>
      <c r="E55" s="23"/>
      <c r="F55" s="23"/>
      <c r="G55" s="23"/>
      <c r="H55" s="21"/>
    </row>
    <row r="56" spans="2:8" ht="15">
      <c r="B56" s="23"/>
      <c r="C56" s="23"/>
      <c r="D56" s="23"/>
      <c r="E56" s="23"/>
      <c r="F56" s="23"/>
      <c r="G56" s="23"/>
      <c r="H56" s="21"/>
    </row>
    <row r="57" spans="2:8" ht="15">
      <c r="B57" s="23"/>
      <c r="C57" s="23"/>
      <c r="D57" s="23"/>
      <c r="E57" s="23"/>
      <c r="F57" s="23"/>
      <c r="G57" s="23"/>
      <c r="H57" s="21"/>
    </row>
    <row r="58" spans="2:8" ht="15">
      <c r="B58" s="23"/>
      <c r="C58" s="23"/>
      <c r="D58" s="23"/>
      <c r="E58" s="23"/>
      <c r="F58" s="23"/>
      <c r="G58" s="23"/>
      <c r="H58" s="21"/>
    </row>
    <row r="59" spans="2:8" ht="15">
      <c r="B59" s="23"/>
      <c r="C59" s="23"/>
      <c r="D59" s="23"/>
      <c r="E59" s="23"/>
      <c r="F59" s="23"/>
      <c r="G59" s="23"/>
      <c r="H59" s="21"/>
    </row>
    <row r="60" spans="2:8" ht="15">
      <c r="B60" s="23"/>
      <c r="C60" s="23"/>
      <c r="D60" s="23"/>
      <c r="E60" s="23"/>
      <c r="F60" s="23"/>
      <c r="G60" s="23"/>
      <c r="H60" s="21"/>
    </row>
    <row r="61" spans="2:8" ht="15">
      <c r="B61" s="23"/>
      <c r="C61" s="23"/>
      <c r="D61" s="23"/>
      <c r="E61" s="23"/>
      <c r="F61" s="23"/>
      <c r="G61" s="23"/>
      <c r="H61" s="21"/>
    </row>
    <row r="62" spans="2:8" ht="15">
      <c r="B62" s="23"/>
      <c r="C62" s="23"/>
      <c r="D62" s="59"/>
      <c r="E62" s="59"/>
      <c r="F62" s="59"/>
      <c r="G62" s="59"/>
      <c r="H62" s="21"/>
    </row>
    <row r="63" spans="2:8" ht="15">
      <c r="B63" s="23"/>
      <c r="C63" s="23"/>
      <c r="D63" s="23"/>
      <c r="E63" s="23"/>
      <c r="F63" s="23"/>
      <c r="G63" s="23"/>
      <c r="H63" s="21"/>
    </row>
    <row r="64" spans="2:8" ht="15">
      <c r="B64" s="21"/>
      <c r="C64" s="21"/>
      <c r="D64" s="21"/>
      <c r="E64" s="21"/>
      <c r="F64" s="21"/>
      <c r="G64" s="21"/>
      <c r="H64" s="21"/>
    </row>
    <row r="65" spans="2:8" ht="15">
      <c r="B65" s="21"/>
      <c r="C65" s="21"/>
      <c r="D65" s="21"/>
      <c r="E65" s="21"/>
      <c r="F65" s="21"/>
      <c r="G65" s="21"/>
      <c r="H65" s="21"/>
    </row>
    <row r="66" spans="2:8" ht="15">
      <c r="B66" s="21"/>
      <c r="C66" s="21"/>
      <c r="D66" s="21"/>
      <c r="E66" s="21"/>
      <c r="F66" s="21"/>
      <c r="G66" s="21"/>
      <c r="H66" s="21"/>
    </row>
    <row r="67" spans="2:8" ht="15">
      <c r="B67" s="21"/>
      <c r="C67" s="21"/>
      <c r="D67" s="21"/>
      <c r="E67" s="21"/>
      <c r="F67" s="21"/>
      <c r="G67" s="21"/>
      <c r="H67" s="21"/>
    </row>
    <row r="68" spans="2:8" ht="15">
      <c r="B68" s="21"/>
      <c r="C68" s="21"/>
      <c r="D68" s="21"/>
      <c r="E68" s="21"/>
      <c r="F68" s="21"/>
      <c r="G68" s="21"/>
      <c r="H68" s="21"/>
    </row>
    <row r="69" spans="2:8" ht="15">
      <c r="B69" s="21"/>
      <c r="C69" s="21"/>
      <c r="D69" s="21"/>
      <c r="E69" s="21"/>
      <c r="F69" s="21"/>
      <c r="G69" s="21"/>
      <c r="H69" s="21"/>
    </row>
  </sheetData>
  <sheetProtection/>
  <mergeCells count="5">
    <mergeCell ref="B6:B7"/>
    <mergeCell ref="C6:E6"/>
    <mergeCell ref="G6:G7"/>
    <mergeCell ref="H6:J6"/>
    <mergeCell ref="B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  <headerFooter>
    <oddFooter>&amp;C&amp;"-,Cursiva"&amp;K01+049Depto. Estadísticas y Gestión de la Información - Servicio de Salud Osorno</oddFooter>
  </headerFooter>
  <ignoredErrors>
    <ignoredError sqref="H9:I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T263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19" sqref="I19"/>
    </sheetView>
  </sheetViews>
  <sheetFormatPr defaultColWidth="11.421875" defaultRowHeight="15"/>
  <cols>
    <col min="1" max="1" width="5.00390625" style="0" customWidth="1"/>
    <col min="2" max="2" width="18.00390625" style="0" customWidth="1"/>
    <col min="3" max="3" width="14.8515625" style="0" customWidth="1"/>
    <col min="4" max="5" width="13.57421875" style="0" customWidth="1"/>
    <col min="6" max="6" width="12.28125" style="0" customWidth="1"/>
    <col min="7" max="7" width="17.8515625" style="0" customWidth="1"/>
    <col min="8" max="10" width="13.00390625" style="0" customWidth="1"/>
    <col min="11" max="11" width="1.421875" style="0" customWidth="1"/>
    <col min="12" max="12" width="17.8515625" style="0" customWidth="1"/>
    <col min="13" max="13" width="8.140625" style="0" customWidth="1"/>
    <col min="14" max="14" width="6.00390625" style="0" customWidth="1"/>
  </cols>
  <sheetData>
    <row r="1" spans="2:10" ht="15.75" thickBot="1">
      <c r="B1" s="255" t="s">
        <v>80</v>
      </c>
      <c r="C1" s="256"/>
      <c r="D1" s="256"/>
      <c r="E1" s="256"/>
      <c r="F1" s="256"/>
      <c r="G1" s="256"/>
      <c r="H1" s="256"/>
      <c r="I1" s="256"/>
      <c r="J1" s="257"/>
    </row>
    <row r="2" spans="2:6" ht="15.75">
      <c r="B2" s="96"/>
      <c r="C2" s="96"/>
      <c r="D2" s="96"/>
      <c r="E2" s="96"/>
      <c r="F2" s="96"/>
    </row>
    <row r="3" spans="2:18" ht="15.75">
      <c r="B3" s="181" t="s">
        <v>67</v>
      </c>
      <c r="C3" s="184" t="s">
        <v>33</v>
      </c>
      <c r="D3" s="166"/>
      <c r="E3" s="96"/>
      <c r="F3" s="96"/>
      <c r="G3" s="254" t="s">
        <v>74</v>
      </c>
      <c r="H3" s="254"/>
      <c r="I3" s="254"/>
      <c r="J3" s="254"/>
      <c r="K3" s="213"/>
      <c r="L3" s="213"/>
      <c r="M3" s="213"/>
      <c r="N3" s="213"/>
      <c r="O3" s="213"/>
      <c r="P3" s="213"/>
      <c r="Q3" s="213"/>
      <c r="R3" s="213"/>
    </row>
    <row r="4" spans="2:10" ht="15">
      <c r="B4" s="181" t="s">
        <v>44</v>
      </c>
      <c r="C4" s="185">
        <v>10307</v>
      </c>
      <c r="G4" s="254"/>
      <c r="H4" s="254"/>
      <c r="I4" s="254"/>
      <c r="J4" s="254"/>
    </row>
    <row r="5" spans="2:3" ht="15.75" thickBot="1">
      <c r="B5" s="1"/>
      <c r="C5" s="163"/>
    </row>
    <row r="6" spans="2:10" ht="30" customHeight="1" thickBot="1">
      <c r="B6" s="241" t="s">
        <v>45</v>
      </c>
      <c r="C6" s="243" t="s">
        <v>82</v>
      </c>
      <c r="D6" s="244"/>
      <c r="E6" s="245"/>
      <c r="F6" s="97"/>
      <c r="G6" s="241" t="s">
        <v>45</v>
      </c>
      <c r="H6" s="243" t="s">
        <v>82</v>
      </c>
      <c r="I6" s="244"/>
      <c r="J6" s="245"/>
    </row>
    <row r="7" spans="2:10" ht="15.75" thickBot="1">
      <c r="B7" s="242"/>
      <c r="C7" s="147" t="s">
        <v>2</v>
      </c>
      <c r="D7" s="172" t="s">
        <v>3</v>
      </c>
      <c r="E7" s="148" t="s">
        <v>4</v>
      </c>
      <c r="F7" s="31"/>
      <c r="G7" s="242"/>
      <c r="H7" s="146" t="s">
        <v>2</v>
      </c>
      <c r="I7" s="147" t="s">
        <v>3</v>
      </c>
      <c r="J7" s="148" t="s">
        <v>4</v>
      </c>
    </row>
    <row r="8" spans="2:10" ht="15">
      <c r="B8" s="149" t="s">
        <v>5</v>
      </c>
      <c r="C8" s="174">
        <v>294</v>
      </c>
      <c r="D8" s="173">
        <v>324</v>
      </c>
      <c r="E8" s="18">
        <f>SUM(C8:D8)</f>
        <v>618</v>
      </c>
      <c r="F8" s="98"/>
      <c r="G8" s="154" t="s">
        <v>6</v>
      </c>
      <c r="H8" s="4">
        <f>SUM(C8:C9)</f>
        <v>630</v>
      </c>
      <c r="I8" s="18">
        <f>SUM(D8:D9)</f>
        <v>656</v>
      </c>
      <c r="J8" s="18">
        <f>SUM(H8:I8)</f>
        <v>1286</v>
      </c>
    </row>
    <row r="9" spans="2:10" ht="15">
      <c r="B9" s="150" t="s">
        <v>7</v>
      </c>
      <c r="C9" s="174">
        <v>336</v>
      </c>
      <c r="D9" s="173">
        <v>332</v>
      </c>
      <c r="E9" s="3">
        <f aca="true" t="shared" si="0" ref="E9:E24">SUM(C9:D9)</f>
        <v>668</v>
      </c>
      <c r="F9" s="98"/>
      <c r="G9" s="155" t="s">
        <v>8</v>
      </c>
      <c r="H9" s="4">
        <f>SUM(C10:C11)</f>
        <v>792</v>
      </c>
      <c r="I9" s="3">
        <f>SUM(D10:D11)</f>
        <v>817</v>
      </c>
      <c r="J9" s="3">
        <f>SUM(H9:I9)</f>
        <v>1609</v>
      </c>
    </row>
    <row r="10" spans="2:10" ht="15">
      <c r="B10" s="149" t="s">
        <v>60</v>
      </c>
      <c r="C10" s="174">
        <v>369</v>
      </c>
      <c r="D10" s="173">
        <v>367</v>
      </c>
      <c r="E10" s="3">
        <f t="shared" si="0"/>
        <v>736</v>
      </c>
      <c r="F10" s="98"/>
      <c r="G10" s="155" t="s">
        <v>10</v>
      </c>
      <c r="H10" s="4">
        <f>SUM(C12:C20)</f>
        <v>3158</v>
      </c>
      <c r="I10" s="3">
        <f>SUM(D12:D20)</f>
        <v>3042</v>
      </c>
      <c r="J10" s="3">
        <f>SUM(H10:I10)</f>
        <v>6200</v>
      </c>
    </row>
    <row r="11" spans="2:10" ht="15.75" thickBot="1">
      <c r="B11" s="149" t="s">
        <v>11</v>
      </c>
      <c r="C11" s="174">
        <v>423</v>
      </c>
      <c r="D11" s="173">
        <v>450</v>
      </c>
      <c r="E11" s="3">
        <f t="shared" si="0"/>
        <v>873</v>
      </c>
      <c r="F11" s="99"/>
      <c r="G11" s="155" t="s">
        <v>12</v>
      </c>
      <c r="H11" s="4">
        <f>SUM(C21:C24)</f>
        <v>766</v>
      </c>
      <c r="I11" s="3">
        <f>SUM(D21:D24)</f>
        <v>727</v>
      </c>
      <c r="J11" s="3">
        <f>SUM(H11:I11)</f>
        <v>1493</v>
      </c>
    </row>
    <row r="12" spans="2:10" ht="15.75" thickBot="1">
      <c r="B12" s="149" t="s">
        <v>13</v>
      </c>
      <c r="C12" s="174">
        <v>441</v>
      </c>
      <c r="D12" s="173">
        <v>391</v>
      </c>
      <c r="E12" s="3">
        <f t="shared" si="0"/>
        <v>832</v>
      </c>
      <c r="F12" s="99"/>
      <c r="G12" s="156" t="s">
        <v>14</v>
      </c>
      <c r="H12" s="157">
        <f>SUM(H8:H11)</f>
        <v>5346</v>
      </c>
      <c r="I12" s="152">
        <f>SUM(I8:I11)</f>
        <v>5242</v>
      </c>
      <c r="J12" s="157">
        <f>SUM(J8:J11)</f>
        <v>10588</v>
      </c>
    </row>
    <row r="13" spans="2:6" ht="15.75" thickBot="1">
      <c r="B13" s="149" t="s">
        <v>15</v>
      </c>
      <c r="C13" s="174">
        <v>342</v>
      </c>
      <c r="D13" s="173">
        <v>347</v>
      </c>
      <c r="E13" s="3">
        <f t="shared" si="0"/>
        <v>689</v>
      </c>
      <c r="F13" s="99"/>
    </row>
    <row r="14" spans="2:10" ht="15">
      <c r="B14" s="149" t="s">
        <v>16</v>
      </c>
      <c r="C14" s="174">
        <v>358</v>
      </c>
      <c r="D14" s="173">
        <v>320</v>
      </c>
      <c r="E14" s="3">
        <f t="shared" si="0"/>
        <v>678</v>
      </c>
      <c r="F14" s="99"/>
      <c r="G14" s="200" t="s">
        <v>61</v>
      </c>
      <c r="H14" s="158">
        <f>SUM(C12:C16)</f>
        <v>1795</v>
      </c>
      <c r="I14" s="213"/>
      <c r="J14" s="5"/>
    </row>
    <row r="15" spans="2:10" ht="15">
      <c r="B15" s="149" t="s">
        <v>17</v>
      </c>
      <c r="C15" s="174">
        <v>318</v>
      </c>
      <c r="D15" s="173">
        <v>345</v>
      </c>
      <c r="E15" s="3">
        <f t="shared" si="0"/>
        <v>663</v>
      </c>
      <c r="F15" s="99"/>
      <c r="G15" s="202" t="s">
        <v>62</v>
      </c>
      <c r="H15" s="199">
        <f>SUM(D17:D20)</f>
        <v>1288</v>
      </c>
      <c r="I15" s="213"/>
      <c r="J15" s="5"/>
    </row>
    <row r="16" spans="2:10" ht="15">
      <c r="B16" s="149" t="s">
        <v>18</v>
      </c>
      <c r="C16" s="174">
        <v>336</v>
      </c>
      <c r="D16" s="173">
        <v>351</v>
      </c>
      <c r="E16" s="3">
        <f t="shared" si="0"/>
        <v>687</v>
      </c>
      <c r="F16" s="99"/>
      <c r="G16" s="214" t="s">
        <v>65</v>
      </c>
      <c r="H16" s="215">
        <f>SUM(E8:E11)</f>
        <v>2895</v>
      </c>
      <c r="I16" s="213"/>
      <c r="J16" s="5"/>
    </row>
    <row r="17" spans="2:9" ht="15" customHeight="1">
      <c r="B17" s="149" t="s">
        <v>19</v>
      </c>
      <c r="C17" s="174">
        <v>373</v>
      </c>
      <c r="D17" s="173">
        <v>374</v>
      </c>
      <c r="E17" s="3">
        <f t="shared" si="0"/>
        <v>747</v>
      </c>
      <c r="F17" s="99"/>
      <c r="G17" s="202" t="s">
        <v>59</v>
      </c>
      <c r="H17" s="199">
        <f>SUM(E21:E24)</f>
        <v>1493</v>
      </c>
      <c r="I17" s="213"/>
    </row>
    <row r="18" spans="2:9" ht="15">
      <c r="B18" s="149" t="s">
        <v>20</v>
      </c>
      <c r="C18" s="174">
        <v>408</v>
      </c>
      <c r="D18" s="173">
        <v>345</v>
      </c>
      <c r="E18" s="3">
        <f t="shared" si="0"/>
        <v>753</v>
      </c>
      <c r="F18" s="99"/>
      <c r="G18" s="214" t="s">
        <v>57</v>
      </c>
      <c r="H18" s="215">
        <v>143</v>
      </c>
      <c r="I18" s="213"/>
    </row>
    <row r="19" spans="2:12" ht="15">
      <c r="B19" s="149" t="s">
        <v>21</v>
      </c>
      <c r="C19" s="174">
        <v>320</v>
      </c>
      <c r="D19" s="173">
        <v>287</v>
      </c>
      <c r="E19" s="3">
        <f t="shared" si="0"/>
        <v>607</v>
      </c>
      <c r="F19" s="99"/>
      <c r="G19" s="202" t="s">
        <v>58</v>
      </c>
      <c r="H19" s="199">
        <v>128</v>
      </c>
      <c r="I19" s="213"/>
      <c r="L19" s="21"/>
    </row>
    <row r="20" spans="2:12" ht="15.75" thickBot="1">
      <c r="B20" s="149" t="s">
        <v>22</v>
      </c>
      <c r="C20" s="174">
        <v>262</v>
      </c>
      <c r="D20" s="173">
        <v>282</v>
      </c>
      <c r="E20" s="3">
        <f t="shared" si="0"/>
        <v>544</v>
      </c>
      <c r="F20" s="98"/>
      <c r="G20" s="201" t="s">
        <v>64</v>
      </c>
      <c r="H20" s="159">
        <f>ROUND(E$20/5,0)</f>
        <v>109</v>
      </c>
      <c r="I20" s="213"/>
      <c r="L20" s="21"/>
    </row>
    <row r="21" spans="2:16" ht="15">
      <c r="B21" s="149" t="s">
        <v>23</v>
      </c>
      <c r="C21" s="174">
        <v>216</v>
      </c>
      <c r="D21" s="173">
        <v>202</v>
      </c>
      <c r="E21" s="3">
        <f t="shared" si="0"/>
        <v>418</v>
      </c>
      <c r="F21" s="99"/>
      <c r="G21" s="200" t="s">
        <v>104</v>
      </c>
      <c r="H21" s="158">
        <f>79+51</f>
        <v>130</v>
      </c>
      <c r="L21" s="21"/>
      <c r="M21" s="21"/>
      <c r="N21" s="21"/>
      <c r="O21" s="21"/>
      <c r="P21" s="21"/>
    </row>
    <row r="22" spans="2:16" ht="15.75" thickBot="1">
      <c r="B22" s="149" t="s">
        <v>24</v>
      </c>
      <c r="C22" s="174">
        <v>223</v>
      </c>
      <c r="D22" s="173">
        <v>198</v>
      </c>
      <c r="E22" s="3">
        <f t="shared" si="0"/>
        <v>421</v>
      </c>
      <c r="F22" s="99"/>
      <c r="G22" s="268" t="s">
        <v>105</v>
      </c>
      <c r="H22" s="198">
        <f>68+82</f>
        <v>150</v>
      </c>
      <c r="L22" s="21"/>
      <c r="M22" s="21"/>
      <c r="N22" s="21"/>
      <c r="O22" s="21"/>
      <c r="P22" s="21"/>
    </row>
    <row r="23" spans="2:16" ht="15">
      <c r="B23" s="149" t="s">
        <v>25</v>
      </c>
      <c r="C23" s="174">
        <v>155</v>
      </c>
      <c r="D23" s="173">
        <v>125</v>
      </c>
      <c r="E23" s="3">
        <f t="shared" si="0"/>
        <v>280</v>
      </c>
      <c r="F23" s="99"/>
      <c r="G23" s="38"/>
      <c r="H23" s="38"/>
      <c r="I23" s="38"/>
      <c r="J23" s="38"/>
      <c r="K23" s="38"/>
      <c r="L23" s="21"/>
      <c r="M23" s="21"/>
      <c r="N23" s="21"/>
      <c r="O23" s="21"/>
      <c r="P23" s="21"/>
    </row>
    <row r="24" spans="2:16" ht="15.75" thickBot="1">
      <c r="B24" s="149" t="s">
        <v>26</v>
      </c>
      <c r="C24" s="174">
        <v>172</v>
      </c>
      <c r="D24" s="173">
        <v>202</v>
      </c>
      <c r="E24" s="3">
        <f t="shared" si="0"/>
        <v>374</v>
      </c>
      <c r="F24" s="99"/>
      <c r="G24" s="38" t="s">
        <v>78</v>
      </c>
      <c r="H24" s="38"/>
      <c r="I24" s="38"/>
      <c r="J24" s="38"/>
      <c r="K24" s="38"/>
      <c r="L24" s="21"/>
      <c r="M24" s="21"/>
      <c r="N24" s="21"/>
      <c r="O24" s="21"/>
      <c r="P24" s="21"/>
    </row>
    <row r="25" spans="2:16" ht="15.75" thickBot="1">
      <c r="B25" s="151" t="s">
        <v>14</v>
      </c>
      <c r="C25" s="152">
        <f>SUM(C8:C24)</f>
        <v>5346</v>
      </c>
      <c r="D25" s="153">
        <f>SUM(D8:D24)</f>
        <v>5242</v>
      </c>
      <c r="E25" s="152">
        <f>SUM(E8:E24)</f>
        <v>10588</v>
      </c>
      <c r="F25" s="101"/>
      <c r="G25" s="177"/>
      <c r="H25" s="102"/>
      <c r="I25" s="103"/>
      <c r="J25" s="103"/>
      <c r="K25" s="38"/>
      <c r="L25" s="21"/>
      <c r="M25" s="21"/>
      <c r="N25" s="21"/>
      <c r="O25" s="21"/>
      <c r="P25" s="21"/>
    </row>
    <row r="26" spans="7:16" ht="15.75" thickBot="1">
      <c r="G26" s="104"/>
      <c r="H26" s="43"/>
      <c r="I26" s="43"/>
      <c r="J26" s="43"/>
      <c r="K26" s="38"/>
      <c r="L26" s="21"/>
      <c r="M26" s="21"/>
      <c r="N26" s="21"/>
      <c r="O26" s="21"/>
      <c r="P26" s="21"/>
    </row>
    <row r="27" spans="2:16" ht="32.25" customHeight="1" thickBot="1">
      <c r="B27" s="258" t="s">
        <v>45</v>
      </c>
      <c r="C27" s="260" t="s">
        <v>98</v>
      </c>
      <c r="D27" s="261"/>
      <c r="E27" s="262"/>
      <c r="F27" s="97"/>
      <c r="G27" s="258" t="s">
        <v>45</v>
      </c>
      <c r="H27" s="260" t="s">
        <v>98</v>
      </c>
      <c r="I27" s="261"/>
      <c r="J27" s="262"/>
      <c r="K27" s="38"/>
      <c r="L27" s="21"/>
      <c r="M27" s="21"/>
      <c r="N27" s="21"/>
      <c r="O27" s="21"/>
      <c r="P27" s="21"/>
    </row>
    <row r="28" spans="2:16" ht="18" customHeight="1" thickBot="1">
      <c r="B28" s="259"/>
      <c r="C28" s="221" t="s">
        <v>2</v>
      </c>
      <c r="D28" s="222" t="s">
        <v>3</v>
      </c>
      <c r="E28" s="223" t="s">
        <v>34</v>
      </c>
      <c r="F28" s="43"/>
      <c r="G28" s="259"/>
      <c r="H28" s="221" t="s">
        <v>2</v>
      </c>
      <c r="I28" s="222" t="s">
        <v>3</v>
      </c>
      <c r="J28" s="223" t="s">
        <v>4</v>
      </c>
      <c r="K28" s="38"/>
      <c r="L28" s="21"/>
      <c r="M28" s="21"/>
      <c r="N28" s="21"/>
      <c r="O28" s="21"/>
      <c r="P28" s="21"/>
    </row>
    <row r="29" spans="2:10" ht="15">
      <c r="B29" s="224" t="s">
        <v>5</v>
      </c>
      <c r="C29" s="18">
        <f aca="true" t="shared" si="1" ref="C29:D45">ROUND(C8*84%,0)</f>
        <v>247</v>
      </c>
      <c r="D29" s="192">
        <f t="shared" si="1"/>
        <v>272</v>
      </c>
      <c r="E29" s="18">
        <f>SUM(C29:D29)</f>
        <v>519</v>
      </c>
      <c r="F29" s="99"/>
      <c r="G29" s="229" t="s">
        <v>6</v>
      </c>
      <c r="H29" s="4">
        <f>SUM(C29:C30)</f>
        <v>529</v>
      </c>
      <c r="I29" s="18">
        <f>SUM(D29:D30)</f>
        <v>551</v>
      </c>
      <c r="J29" s="18">
        <f>SUM(H29:I29)</f>
        <v>1080</v>
      </c>
    </row>
    <row r="30" spans="2:10" ht="15">
      <c r="B30" s="225" t="s">
        <v>7</v>
      </c>
      <c r="C30" s="3">
        <f t="shared" si="1"/>
        <v>282</v>
      </c>
      <c r="D30" s="20">
        <f t="shared" si="1"/>
        <v>279</v>
      </c>
      <c r="E30" s="3">
        <f aca="true" t="shared" si="2" ref="E30:E45">SUM(C30:D30)</f>
        <v>561</v>
      </c>
      <c r="F30" s="99"/>
      <c r="G30" s="230" t="s">
        <v>8</v>
      </c>
      <c r="H30" s="4">
        <f>SUM(C31:C32)</f>
        <v>665</v>
      </c>
      <c r="I30" s="3">
        <f>SUM(D31:D32)</f>
        <v>686</v>
      </c>
      <c r="J30" s="3">
        <f>SUM(H30:I30)</f>
        <v>1351</v>
      </c>
    </row>
    <row r="31" spans="2:10" ht="15">
      <c r="B31" s="224" t="s">
        <v>60</v>
      </c>
      <c r="C31" s="3">
        <f t="shared" si="1"/>
        <v>310</v>
      </c>
      <c r="D31" s="20">
        <f t="shared" si="1"/>
        <v>308</v>
      </c>
      <c r="E31" s="3">
        <f t="shared" si="2"/>
        <v>618</v>
      </c>
      <c r="F31" s="99"/>
      <c r="G31" s="230" t="s">
        <v>10</v>
      </c>
      <c r="H31" s="4">
        <f>SUM(C33:C41)</f>
        <v>2652</v>
      </c>
      <c r="I31" s="3">
        <f>SUM(D33:D41)</f>
        <v>2555</v>
      </c>
      <c r="J31" s="3">
        <f>SUM(H31:I31)</f>
        <v>5207</v>
      </c>
    </row>
    <row r="32" spans="2:10" ht="15.75" thickBot="1">
      <c r="B32" s="224" t="s">
        <v>11</v>
      </c>
      <c r="C32" s="3">
        <f t="shared" si="1"/>
        <v>355</v>
      </c>
      <c r="D32" s="20">
        <f t="shared" si="1"/>
        <v>378</v>
      </c>
      <c r="E32" s="3">
        <f t="shared" si="2"/>
        <v>733</v>
      </c>
      <c r="F32" s="99"/>
      <c r="G32" s="230" t="s">
        <v>12</v>
      </c>
      <c r="H32" s="4">
        <f>SUM(C42:C45)</f>
        <v>642</v>
      </c>
      <c r="I32" s="3">
        <f>SUM(D42:D45)</f>
        <v>611</v>
      </c>
      <c r="J32" s="3">
        <f>SUM(H32:I32)</f>
        <v>1253</v>
      </c>
    </row>
    <row r="33" spans="2:10" ht="15.75" thickBot="1">
      <c r="B33" s="224" t="s">
        <v>13</v>
      </c>
      <c r="C33" s="3">
        <f t="shared" si="1"/>
        <v>370</v>
      </c>
      <c r="D33" s="20">
        <f t="shared" si="1"/>
        <v>328</v>
      </c>
      <c r="E33" s="3">
        <f t="shared" si="2"/>
        <v>698</v>
      </c>
      <c r="F33" s="99"/>
      <c r="G33" s="231" t="s">
        <v>14</v>
      </c>
      <c r="H33" s="232">
        <f>SUM(H29:H32)</f>
        <v>4488</v>
      </c>
      <c r="I33" s="227">
        <f>SUM(I29:I32)</f>
        <v>4403</v>
      </c>
      <c r="J33" s="227">
        <f>SUM(J29:J32)</f>
        <v>8891</v>
      </c>
    </row>
    <row r="34" spans="2:6" ht="15.75" thickBot="1">
      <c r="B34" s="224" t="s">
        <v>15</v>
      </c>
      <c r="C34" s="3">
        <f t="shared" si="1"/>
        <v>287</v>
      </c>
      <c r="D34" s="20">
        <f t="shared" si="1"/>
        <v>291</v>
      </c>
      <c r="E34" s="3">
        <f t="shared" si="2"/>
        <v>578</v>
      </c>
      <c r="F34" s="99"/>
    </row>
    <row r="35" spans="2:10" ht="15">
      <c r="B35" s="224" t="s">
        <v>16</v>
      </c>
      <c r="C35" s="3">
        <f t="shared" si="1"/>
        <v>301</v>
      </c>
      <c r="D35" s="20">
        <f t="shared" si="1"/>
        <v>269</v>
      </c>
      <c r="E35" s="3">
        <f t="shared" si="2"/>
        <v>570</v>
      </c>
      <c r="F35" s="99"/>
      <c r="G35" s="233" t="s">
        <v>61</v>
      </c>
      <c r="H35" s="158">
        <f>SUM(C33:C37)</f>
        <v>1507</v>
      </c>
      <c r="I35" s="213" t="s">
        <v>66</v>
      </c>
      <c r="J35" s="5"/>
    </row>
    <row r="36" spans="2:10" ht="15">
      <c r="B36" s="224" t="s">
        <v>17</v>
      </c>
      <c r="C36" s="3">
        <f t="shared" si="1"/>
        <v>267</v>
      </c>
      <c r="D36" s="20">
        <f t="shared" si="1"/>
        <v>290</v>
      </c>
      <c r="E36" s="3">
        <f t="shared" si="2"/>
        <v>557</v>
      </c>
      <c r="F36" s="99"/>
      <c r="G36" s="234" t="s">
        <v>62</v>
      </c>
      <c r="H36" s="199">
        <f>SUM(D38:D41)</f>
        <v>1082</v>
      </c>
      <c r="I36" s="213" t="s">
        <v>66</v>
      </c>
      <c r="J36" s="5"/>
    </row>
    <row r="37" spans="2:10" ht="15">
      <c r="B37" s="224" t="s">
        <v>18</v>
      </c>
      <c r="C37" s="3">
        <f t="shared" si="1"/>
        <v>282</v>
      </c>
      <c r="D37" s="20">
        <f t="shared" si="1"/>
        <v>295</v>
      </c>
      <c r="E37" s="3">
        <f t="shared" si="2"/>
        <v>577</v>
      </c>
      <c r="F37" s="99"/>
      <c r="G37" s="235" t="s">
        <v>65</v>
      </c>
      <c r="H37" s="215">
        <f>SUM(E29:E32)</f>
        <v>2431</v>
      </c>
      <c r="I37" s="213" t="s">
        <v>66</v>
      </c>
      <c r="J37" s="5"/>
    </row>
    <row r="38" spans="2:9" ht="15">
      <c r="B38" s="224" t="s">
        <v>19</v>
      </c>
      <c r="C38" s="3">
        <f t="shared" si="1"/>
        <v>313</v>
      </c>
      <c r="D38" s="20">
        <f t="shared" si="1"/>
        <v>314</v>
      </c>
      <c r="E38" s="3">
        <f t="shared" si="2"/>
        <v>627</v>
      </c>
      <c r="F38" s="99"/>
      <c r="G38" s="234" t="s">
        <v>59</v>
      </c>
      <c r="H38" s="199">
        <f>SUM(E42:E45)</f>
        <v>1253</v>
      </c>
      <c r="I38" s="213" t="s">
        <v>66</v>
      </c>
    </row>
    <row r="39" spans="2:10" ht="15">
      <c r="B39" s="224" t="s">
        <v>20</v>
      </c>
      <c r="C39" s="3">
        <f t="shared" si="1"/>
        <v>343</v>
      </c>
      <c r="D39" s="20">
        <f t="shared" si="1"/>
        <v>290</v>
      </c>
      <c r="E39" s="3">
        <f t="shared" si="2"/>
        <v>633</v>
      </c>
      <c r="F39" s="99"/>
      <c r="G39" s="235" t="s">
        <v>57</v>
      </c>
      <c r="H39" s="218">
        <f>ROUND(H$18*84%,0)</f>
        <v>120</v>
      </c>
      <c r="I39" s="213" t="s">
        <v>63</v>
      </c>
      <c r="J39" s="105"/>
    </row>
    <row r="40" spans="2:10" ht="15">
      <c r="B40" s="224" t="s">
        <v>21</v>
      </c>
      <c r="C40" s="3">
        <f t="shared" si="1"/>
        <v>269</v>
      </c>
      <c r="D40" s="20">
        <f t="shared" si="1"/>
        <v>241</v>
      </c>
      <c r="E40" s="3">
        <f t="shared" si="2"/>
        <v>510</v>
      </c>
      <c r="F40" s="99"/>
      <c r="G40" s="234" t="s">
        <v>58</v>
      </c>
      <c r="H40" s="218">
        <f>ROUND(H$19*84%,0)</f>
        <v>108</v>
      </c>
      <c r="I40" s="213" t="s">
        <v>63</v>
      </c>
      <c r="J40" s="105"/>
    </row>
    <row r="41" spans="2:10" ht="15.75" thickBot="1">
      <c r="B41" s="224" t="s">
        <v>22</v>
      </c>
      <c r="C41" s="3">
        <f t="shared" si="1"/>
        <v>220</v>
      </c>
      <c r="D41" s="20">
        <f t="shared" si="1"/>
        <v>237</v>
      </c>
      <c r="E41" s="3">
        <f t="shared" si="2"/>
        <v>457</v>
      </c>
      <c r="F41" s="99"/>
      <c r="G41" s="236" t="s">
        <v>64</v>
      </c>
      <c r="H41" s="219">
        <f>ROUND(H$20*84%,0)</f>
        <v>92</v>
      </c>
      <c r="I41" s="213" t="s">
        <v>63</v>
      </c>
      <c r="J41" s="105"/>
    </row>
    <row r="42" spans="2:10" ht="15">
      <c r="B42" s="224" t="s">
        <v>23</v>
      </c>
      <c r="C42" s="3">
        <f t="shared" si="1"/>
        <v>181</v>
      </c>
      <c r="D42" s="20">
        <f t="shared" si="1"/>
        <v>170</v>
      </c>
      <c r="E42" s="3">
        <f t="shared" si="2"/>
        <v>351</v>
      </c>
      <c r="F42" s="99"/>
      <c r="G42" s="233" t="s">
        <v>104</v>
      </c>
      <c r="H42" s="216">
        <f>ROUND(H$21*84%,0)</f>
        <v>109</v>
      </c>
      <c r="I42" s="64"/>
      <c r="J42" s="62"/>
    </row>
    <row r="43" spans="2:10" ht="15.75" thickBot="1">
      <c r="B43" s="224" t="s">
        <v>24</v>
      </c>
      <c r="C43" s="3">
        <f t="shared" si="1"/>
        <v>187</v>
      </c>
      <c r="D43" s="20">
        <f t="shared" si="1"/>
        <v>166</v>
      </c>
      <c r="E43" s="3">
        <f t="shared" si="2"/>
        <v>353</v>
      </c>
      <c r="F43" s="99"/>
      <c r="G43" s="236" t="s">
        <v>105</v>
      </c>
      <c r="H43" s="219">
        <f>ROUND(H$22*84%,0)</f>
        <v>126</v>
      </c>
      <c r="I43" s="38"/>
      <c r="J43" s="38"/>
    </row>
    <row r="44" spans="2:12" ht="15">
      <c r="B44" s="224" t="s">
        <v>25</v>
      </c>
      <c r="C44" s="3">
        <f t="shared" si="1"/>
        <v>130</v>
      </c>
      <c r="D44" s="20">
        <f t="shared" si="1"/>
        <v>105</v>
      </c>
      <c r="E44" s="3">
        <f t="shared" si="2"/>
        <v>235</v>
      </c>
      <c r="F44" s="99"/>
      <c r="K44" s="106"/>
      <c r="L44" s="106"/>
    </row>
    <row r="45" spans="2:12" ht="15.75" thickBot="1">
      <c r="B45" s="224" t="s">
        <v>26</v>
      </c>
      <c r="C45" s="3">
        <f t="shared" si="1"/>
        <v>144</v>
      </c>
      <c r="D45" s="20">
        <f t="shared" si="1"/>
        <v>170</v>
      </c>
      <c r="E45" s="3">
        <f t="shared" si="2"/>
        <v>314</v>
      </c>
      <c r="F45" s="99"/>
      <c r="K45" s="21"/>
      <c r="L45" s="21"/>
    </row>
    <row r="46" spans="2:12" ht="15.75" thickBot="1">
      <c r="B46" s="226" t="s">
        <v>14</v>
      </c>
      <c r="C46" s="227">
        <f>SUM(C29:C45)</f>
        <v>4488</v>
      </c>
      <c r="D46" s="228">
        <f>SUM(D29:D45)</f>
        <v>4403</v>
      </c>
      <c r="E46" s="227">
        <f>SUM(E29:E45)</f>
        <v>8891</v>
      </c>
      <c r="F46" s="190">
        <v>0.84</v>
      </c>
      <c r="G46" s="39"/>
      <c r="K46" s="21"/>
      <c r="L46" s="21"/>
    </row>
    <row r="47" spans="7:16" ht="15.75" thickBot="1">
      <c r="G47" s="104"/>
      <c r="H47" s="43"/>
      <c r="I47" s="43"/>
      <c r="J47" s="43"/>
      <c r="K47" s="38"/>
      <c r="L47" s="21"/>
      <c r="M47" s="21"/>
      <c r="N47" s="21"/>
      <c r="O47" s="21"/>
      <c r="P47" s="21"/>
    </row>
    <row r="48" spans="2:16" ht="30.75" customHeight="1" thickBot="1">
      <c r="B48" s="258" t="s">
        <v>45</v>
      </c>
      <c r="C48" s="260" t="s">
        <v>83</v>
      </c>
      <c r="D48" s="263"/>
      <c r="E48" s="264"/>
      <c r="G48" s="258" t="s">
        <v>45</v>
      </c>
      <c r="H48" s="260" t="s">
        <v>83</v>
      </c>
      <c r="I48" s="263"/>
      <c r="J48" s="264"/>
      <c r="K48" s="38"/>
      <c r="L48" s="21"/>
      <c r="M48" s="21"/>
      <c r="N48" s="21"/>
      <c r="O48" s="21"/>
      <c r="P48" s="21"/>
    </row>
    <row r="49" spans="2:16" ht="15.75" thickBot="1">
      <c r="B49" s="259"/>
      <c r="C49" s="221" t="s">
        <v>2</v>
      </c>
      <c r="D49" s="222" t="s">
        <v>35</v>
      </c>
      <c r="E49" s="223" t="s">
        <v>34</v>
      </c>
      <c r="G49" s="259"/>
      <c r="H49" s="221" t="s">
        <v>2</v>
      </c>
      <c r="I49" s="222" t="s">
        <v>3</v>
      </c>
      <c r="J49" s="223" t="s">
        <v>4</v>
      </c>
      <c r="K49" s="38"/>
      <c r="L49" s="21"/>
      <c r="M49" s="21"/>
      <c r="N49" s="21"/>
      <c r="O49" s="21"/>
      <c r="P49" s="21"/>
    </row>
    <row r="50" spans="2:16" ht="15">
      <c r="B50" s="224" t="s">
        <v>5</v>
      </c>
      <c r="C50" s="18">
        <f aca="true" t="shared" si="3" ref="C50:D66">ROUND(C8*16%,0)</f>
        <v>47</v>
      </c>
      <c r="D50" s="192">
        <f t="shared" si="3"/>
        <v>52</v>
      </c>
      <c r="E50" s="18">
        <f>+D50+C50</f>
        <v>99</v>
      </c>
      <c r="F50" s="145"/>
      <c r="G50" s="229" t="s">
        <v>6</v>
      </c>
      <c r="H50" s="4">
        <f>SUM(C50:C51)</f>
        <v>101</v>
      </c>
      <c r="I50" s="18">
        <f>SUM(D50:D51)</f>
        <v>105</v>
      </c>
      <c r="J50" s="18">
        <f>SUM(H50:I50)</f>
        <v>206</v>
      </c>
      <c r="K50" s="38"/>
      <c r="L50" s="21"/>
      <c r="M50" s="21"/>
      <c r="N50" s="21"/>
      <c r="O50" s="21"/>
      <c r="P50" s="21"/>
    </row>
    <row r="51" spans="2:16" ht="15">
      <c r="B51" s="225" t="s">
        <v>7</v>
      </c>
      <c r="C51" s="3">
        <f t="shared" si="3"/>
        <v>54</v>
      </c>
      <c r="D51" s="20">
        <f t="shared" si="3"/>
        <v>53</v>
      </c>
      <c r="E51" s="3">
        <f>+D51+C51</f>
        <v>107</v>
      </c>
      <c r="F51" s="145"/>
      <c r="G51" s="230" t="s">
        <v>8</v>
      </c>
      <c r="H51" s="4">
        <f>SUM(C52:C53)</f>
        <v>127</v>
      </c>
      <c r="I51" s="3">
        <f>SUM(D52:D53)</f>
        <v>131</v>
      </c>
      <c r="J51" s="3">
        <f>SUM(H51:I51)</f>
        <v>258</v>
      </c>
      <c r="K51" s="38"/>
      <c r="L51" s="21"/>
      <c r="M51" s="21"/>
      <c r="N51" s="21"/>
      <c r="O51" s="21"/>
      <c r="P51" s="21"/>
    </row>
    <row r="52" spans="2:16" ht="15">
      <c r="B52" s="224" t="s">
        <v>60</v>
      </c>
      <c r="C52" s="3">
        <f t="shared" si="3"/>
        <v>59</v>
      </c>
      <c r="D52" s="20">
        <f t="shared" si="3"/>
        <v>59</v>
      </c>
      <c r="E52" s="3">
        <f aca="true" t="shared" si="4" ref="E52:E66">+D52+C52</f>
        <v>118</v>
      </c>
      <c r="F52" s="145"/>
      <c r="G52" s="230" t="s">
        <v>10</v>
      </c>
      <c r="H52" s="4">
        <f>SUM(C54:C62)</f>
        <v>506</v>
      </c>
      <c r="I52" s="3">
        <f>SUM(D54:D62)</f>
        <v>487</v>
      </c>
      <c r="J52" s="3">
        <f>SUM(H52:I52)</f>
        <v>993</v>
      </c>
      <c r="K52" s="38"/>
      <c r="L52" s="21"/>
      <c r="M52" s="21"/>
      <c r="N52" s="21"/>
      <c r="O52" s="21"/>
      <c r="P52" s="21"/>
    </row>
    <row r="53" spans="2:16" ht="15.75" thickBot="1">
      <c r="B53" s="224" t="s">
        <v>11</v>
      </c>
      <c r="C53" s="3">
        <f t="shared" si="3"/>
        <v>68</v>
      </c>
      <c r="D53" s="20">
        <f t="shared" si="3"/>
        <v>72</v>
      </c>
      <c r="E53" s="3">
        <f t="shared" si="4"/>
        <v>140</v>
      </c>
      <c r="F53" s="145"/>
      <c r="G53" s="230" t="s">
        <v>12</v>
      </c>
      <c r="H53" s="4">
        <f>SUM(C63:C66)</f>
        <v>124</v>
      </c>
      <c r="I53" s="3">
        <f>SUM(D63:D66)</f>
        <v>116</v>
      </c>
      <c r="J53" s="3">
        <f>SUM(H53:I53)</f>
        <v>240</v>
      </c>
      <c r="K53" s="38"/>
      <c r="L53" s="21"/>
      <c r="M53" s="21"/>
      <c r="N53" s="21"/>
      <c r="O53" s="21"/>
      <c r="P53" s="21"/>
    </row>
    <row r="54" spans="2:16" ht="15.75" thickBot="1">
      <c r="B54" s="224" t="s">
        <v>13</v>
      </c>
      <c r="C54" s="3">
        <f t="shared" si="3"/>
        <v>71</v>
      </c>
      <c r="D54" s="20">
        <f t="shared" si="3"/>
        <v>63</v>
      </c>
      <c r="E54" s="3">
        <f t="shared" si="4"/>
        <v>134</v>
      </c>
      <c r="F54" s="145"/>
      <c r="G54" s="231" t="s">
        <v>14</v>
      </c>
      <c r="H54" s="232">
        <f>SUM(H50:H53)</f>
        <v>858</v>
      </c>
      <c r="I54" s="227">
        <f>SUM(I50:I53)</f>
        <v>839</v>
      </c>
      <c r="J54" s="227">
        <f>SUM(J50:J53)</f>
        <v>1697</v>
      </c>
      <c r="K54" s="38"/>
      <c r="L54" s="21"/>
      <c r="M54" s="21"/>
      <c r="N54" s="21"/>
      <c r="O54" s="21"/>
      <c r="P54" s="21"/>
    </row>
    <row r="55" spans="2:16" ht="15.75" thickBot="1">
      <c r="B55" s="224" t="s">
        <v>15</v>
      </c>
      <c r="C55" s="3">
        <f t="shared" si="3"/>
        <v>55</v>
      </c>
      <c r="D55" s="20">
        <f t="shared" si="3"/>
        <v>56</v>
      </c>
      <c r="E55" s="3">
        <f t="shared" si="4"/>
        <v>111</v>
      </c>
      <c r="F55" s="145"/>
      <c r="K55" s="38"/>
      <c r="L55" s="21"/>
      <c r="M55" s="21"/>
      <c r="N55" s="21"/>
      <c r="O55" s="21"/>
      <c r="P55" s="21"/>
    </row>
    <row r="56" spans="2:16" ht="15">
      <c r="B56" s="224" t="s">
        <v>16</v>
      </c>
      <c r="C56" s="3">
        <f t="shared" si="3"/>
        <v>57</v>
      </c>
      <c r="D56" s="20">
        <f t="shared" si="3"/>
        <v>51</v>
      </c>
      <c r="E56" s="3">
        <f t="shared" si="4"/>
        <v>108</v>
      </c>
      <c r="F56" s="145"/>
      <c r="G56" s="233" t="s">
        <v>61</v>
      </c>
      <c r="H56" s="158">
        <f>SUM(C54:C58)</f>
        <v>288</v>
      </c>
      <c r="I56" s="213"/>
      <c r="J56" s="5"/>
      <c r="K56" s="38"/>
      <c r="N56" s="21"/>
      <c r="O56" s="21"/>
      <c r="P56" s="21"/>
    </row>
    <row r="57" spans="2:16" ht="15">
      <c r="B57" s="224" t="s">
        <v>17</v>
      </c>
      <c r="C57" s="3">
        <f t="shared" si="3"/>
        <v>51</v>
      </c>
      <c r="D57" s="20">
        <f t="shared" si="3"/>
        <v>55</v>
      </c>
      <c r="E57" s="3">
        <f t="shared" si="4"/>
        <v>106</v>
      </c>
      <c r="F57" s="145"/>
      <c r="G57" s="234" t="s">
        <v>62</v>
      </c>
      <c r="H57" s="199">
        <f>SUM(D59:D62)</f>
        <v>206</v>
      </c>
      <c r="I57" s="213"/>
      <c r="J57" s="5"/>
      <c r="K57" s="38"/>
      <c r="N57" s="21"/>
      <c r="O57" s="21"/>
      <c r="P57" s="21"/>
    </row>
    <row r="58" spans="2:16" ht="15">
      <c r="B58" s="224" t="s">
        <v>18</v>
      </c>
      <c r="C58" s="3">
        <f t="shared" si="3"/>
        <v>54</v>
      </c>
      <c r="D58" s="20">
        <f t="shared" si="3"/>
        <v>56</v>
      </c>
      <c r="E58" s="3">
        <f t="shared" si="4"/>
        <v>110</v>
      </c>
      <c r="F58" s="145"/>
      <c r="G58" s="235" t="s">
        <v>65</v>
      </c>
      <c r="H58" s="215">
        <f>SUM(E50:E53)</f>
        <v>464</v>
      </c>
      <c r="I58" s="213"/>
      <c r="J58" s="5"/>
      <c r="K58" s="38"/>
      <c r="L58" s="21"/>
      <c r="M58" s="21"/>
      <c r="N58" s="21"/>
      <c r="O58" s="21"/>
      <c r="P58" s="21"/>
    </row>
    <row r="59" spans="2:16" ht="15">
      <c r="B59" s="224" t="s">
        <v>19</v>
      </c>
      <c r="C59" s="3">
        <f t="shared" si="3"/>
        <v>60</v>
      </c>
      <c r="D59" s="20">
        <f t="shared" si="3"/>
        <v>60</v>
      </c>
      <c r="E59" s="3">
        <f t="shared" si="4"/>
        <v>120</v>
      </c>
      <c r="F59" s="145"/>
      <c r="G59" s="234" t="s">
        <v>59</v>
      </c>
      <c r="H59" s="199">
        <f>SUM(E63:E66)</f>
        <v>240</v>
      </c>
      <c r="I59" s="213"/>
      <c r="K59" s="38"/>
      <c r="L59" s="21"/>
      <c r="M59" s="21"/>
      <c r="N59" s="21"/>
      <c r="O59" s="21"/>
      <c r="P59" s="21"/>
    </row>
    <row r="60" spans="2:16" ht="15">
      <c r="B60" s="224" t="s">
        <v>20</v>
      </c>
      <c r="C60" s="3">
        <f t="shared" si="3"/>
        <v>65</v>
      </c>
      <c r="D60" s="20">
        <f t="shared" si="3"/>
        <v>55</v>
      </c>
      <c r="E60" s="3">
        <f t="shared" si="4"/>
        <v>120</v>
      </c>
      <c r="F60" s="145"/>
      <c r="G60" s="235" t="s">
        <v>57</v>
      </c>
      <c r="H60" s="218">
        <f>ROUND(H$18*16%,0)</f>
        <v>23</v>
      </c>
      <c r="I60" s="213"/>
      <c r="J60" s="43"/>
      <c r="K60" s="38"/>
      <c r="L60" s="21"/>
      <c r="M60" s="21"/>
      <c r="N60" s="21"/>
      <c r="O60" s="21"/>
      <c r="P60" s="21"/>
    </row>
    <row r="61" spans="2:16" ht="15">
      <c r="B61" s="224" t="s">
        <v>21</v>
      </c>
      <c r="C61" s="3">
        <f t="shared" si="3"/>
        <v>51</v>
      </c>
      <c r="D61" s="20">
        <f t="shared" si="3"/>
        <v>46</v>
      </c>
      <c r="E61" s="3">
        <f t="shared" si="4"/>
        <v>97</v>
      </c>
      <c r="F61" s="145"/>
      <c r="G61" s="234" t="s">
        <v>58</v>
      </c>
      <c r="H61" s="218">
        <f>ROUND(H$19*16%,0)</f>
        <v>20</v>
      </c>
      <c r="I61" s="213"/>
      <c r="J61" s="43"/>
      <c r="K61" s="38"/>
      <c r="L61" s="21"/>
      <c r="M61" s="21"/>
      <c r="N61" s="21"/>
      <c r="O61" s="21"/>
      <c r="P61" s="21"/>
    </row>
    <row r="62" spans="2:16" ht="15.75" thickBot="1">
      <c r="B62" s="224" t="s">
        <v>22</v>
      </c>
      <c r="C62" s="3">
        <f t="shared" si="3"/>
        <v>42</v>
      </c>
      <c r="D62" s="20">
        <f t="shared" si="3"/>
        <v>45</v>
      </c>
      <c r="E62" s="3">
        <f t="shared" si="4"/>
        <v>87</v>
      </c>
      <c r="F62" s="145"/>
      <c r="G62" s="236" t="s">
        <v>64</v>
      </c>
      <c r="H62" s="219">
        <f>ROUND(H$20*16%,0)</f>
        <v>17</v>
      </c>
      <c r="I62" s="213"/>
      <c r="J62" s="43"/>
      <c r="K62" s="38"/>
      <c r="L62" s="22"/>
      <c r="M62" s="21"/>
      <c r="N62" s="21"/>
      <c r="O62" s="21"/>
      <c r="P62" s="21"/>
    </row>
    <row r="63" spans="2:16" ht="15">
      <c r="B63" s="224" t="s">
        <v>23</v>
      </c>
      <c r="C63" s="3">
        <f t="shared" si="3"/>
        <v>35</v>
      </c>
      <c r="D63" s="20">
        <f t="shared" si="3"/>
        <v>32</v>
      </c>
      <c r="E63" s="3">
        <f t="shared" si="4"/>
        <v>67</v>
      </c>
      <c r="F63" s="145"/>
      <c r="G63" s="233" t="s">
        <v>104</v>
      </c>
      <c r="H63" s="216">
        <f>ROUND(H$21*16%,0)</f>
        <v>21</v>
      </c>
      <c r="I63" s="43"/>
      <c r="J63" s="43"/>
      <c r="K63" s="38"/>
      <c r="L63" s="21"/>
      <c r="M63" s="21"/>
      <c r="N63" s="21"/>
      <c r="O63" s="21"/>
      <c r="P63" s="21"/>
    </row>
    <row r="64" spans="2:16" ht="15.75" thickBot="1">
      <c r="B64" s="224" t="s">
        <v>24</v>
      </c>
      <c r="C64" s="3">
        <f t="shared" si="3"/>
        <v>36</v>
      </c>
      <c r="D64" s="20">
        <f t="shared" si="3"/>
        <v>32</v>
      </c>
      <c r="E64" s="3">
        <f t="shared" si="4"/>
        <v>68</v>
      </c>
      <c r="F64" s="145"/>
      <c r="G64" s="236" t="s">
        <v>105</v>
      </c>
      <c r="H64" s="219">
        <f>ROUND(H$22*16%,0)</f>
        <v>24</v>
      </c>
      <c r="I64" s="43"/>
      <c r="J64" s="43"/>
      <c r="K64" s="38"/>
      <c r="L64" s="21"/>
      <c r="M64" s="21"/>
      <c r="N64" s="21"/>
      <c r="O64" s="21"/>
      <c r="P64" s="21"/>
    </row>
    <row r="65" spans="2:16" ht="15">
      <c r="B65" s="224" t="s">
        <v>25</v>
      </c>
      <c r="C65" s="3">
        <f t="shared" si="3"/>
        <v>25</v>
      </c>
      <c r="D65" s="20">
        <f t="shared" si="3"/>
        <v>20</v>
      </c>
      <c r="E65" s="3">
        <f t="shared" si="4"/>
        <v>45</v>
      </c>
      <c r="F65" s="145"/>
      <c r="G65" s="104"/>
      <c r="H65" s="43"/>
      <c r="I65" s="43"/>
      <c r="J65" s="43"/>
      <c r="K65" s="38"/>
      <c r="L65" s="21"/>
      <c r="M65" s="21"/>
      <c r="N65" s="21"/>
      <c r="O65" s="21"/>
      <c r="P65" s="21"/>
    </row>
    <row r="66" spans="2:16" ht="15.75" thickBot="1">
      <c r="B66" s="224" t="s">
        <v>26</v>
      </c>
      <c r="C66" s="3">
        <f t="shared" si="3"/>
        <v>28</v>
      </c>
      <c r="D66" s="20">
        <f t="shared" si="3"/>
        <v>32</v>
      </c>
      <c r="E66" s="3">
        <f t="shared" si="4"/>
        <v>60</v>
      </c>
      <c r="F66" s="145"/>
      <c r="G66" s="104"/>
      <c r="H66" s="43"/>
      <c r="I66" s="43"/>
      <c r="J66" s="43"/>
      <c r="K66" s="38"/>
      <c r="L66" s="21"/>
      <c r="M66" s="21"/>
      <c r="N66" s="21"/>
      <c r="O66" s="21"/>
      <c r="P66" s="21"/>
    </row>
    <row r="67" spans="2:16" ht="15.75" thickBot="1">
      <c r="B67" s="226" t="s">
        <v>14</v>
      </c>
      <c r="C67" s="227">
        <f>SUM(C50:C66)</f>
        <v>858</v>
      </c>
      <c r="D67" s="228">
        <f>SUM(D50:D66)</f>
        <v>839</v>
      </c>
      <c r="E67" s="227">
        <f>SUM(E50:E66)</f>
        <v>1697</v>
      </c>
      <c r="F67" s="191">
        <v>0.16</v>
      </c>
      <c r="G67" s="104"/>
      <c r="H67" s="43"/>
      <c r="I67" s="43"/>
      <c r="J67" s="43"/>
      <c r="K67" s="38"/>
      <c r="L67" s="21"/>
      <c r="M67" s="21"/>
      <c r="N67" s="21"/>
      <c r="O67" s="21"/>
      <c r="P67" s="21"/>
    </row>
    <row r="68" spans="7:16" ht="15">
      <c r="G68" s="104"/>
      <c r="H68" s="43"/>
      <c r="I68" s="43"/>
      <c r="J68" s="43"/>
      <c r="K68" s="38"/>
      <c r="L68" s="21"/>
      <c r="M68" s="21"/>
      <c r="N68" s="21"/>
      <c r="O68" s="21"/>
      <c r="P68" s="21"/>
    </row>
    <row r="89" spans="2:12" ht="15">
      <c r="B89" s="21"/>
      <c r="G89" s="39"/>
      <c r="K89" s="21"/>
      <c r="L89" s="21"/>
    </row>
    <row r="90" spans="2:12" ht="15">
      <c r="B90" s="21"/>
      <c r="K90" s="21"/>
      <c r="L90" s="21"/>
    </row>
    <row r="91" spans="2:12" ht="15">
      <c r="B91" s="21"/>
      <c r="K91" s="21"/>
      <c r="L91" s="21"/>
    </row>
    <row r="92" spans="2:12" ht="15">
      <c r="B92" s="21"/>
      <c r="K92" s="106"/>
      <c r="L92" s="106"/>
    </row>
    <row r="93" spans="2:12" ht="15">
      <c r="B93" s="21"/>
      <c r="K93" s="21"/>
      <c r="L93" s="21"/>
    </row>
    <row r="94" spans="2:12" ht="15">
      <c r="B94" s="21"/>
      <c r="K94" s="21"/>
      <c r="L94" s="21"/>
    </row>
    <row r="95" spans="2:12" ht="15">
      <c r="B95" s="21"/>
      <c r="K95" s="21"/>
      <c r="L95" s="21"/>
    </row>
    <row r="96" spans="2:12" ht="15">
      <c r="B96" s="21"/>
      <c r="K96" s="21"/>
      <c r="L96" s="21"/>
    </row>
    <row r="97" spans="2:12" ht="15">
      <c r="B97" s="21"/>
      <c r="K97" s="21"/>
      <c r="L97" s="21"/>
    </row>
    <row r="98" spans="2:12" ht="15">
      <c r="B98" s="21"/>
      <c r="K98" s="21"/>
      <c r="L98" s="21"/>
    </row>
    <row r="99" spans="2:12" ht="15">
      <c r="B99" s="21"/>
      <c r="K99" s="106"/>
      <c r="L99" s="106"/>
    </row>
    <row r="100" spans="2:12" ht="15">
      <c r="B100" s="21"/>
      <c r="K100" s="106"/>
      <c r="L100" s="106"/>
    </row>
    <row r="101" spans="2:12" ht="15">
      <c r="B101" s="21"/>
      <c r="K101" s="106"/>
      <c r="L101" s="106"/>
    </row>
    <row r="102" spans="2:12" ht="15">
      <c r="B102" s="21"/>
      <c r="K102" s="106"/>
      <c r="L102" s="106"/>
    </row>
    <row r="103" spans="2:12" ht="15">
      <c r="B103" s="21"/>
      <c r="K103" s="106"/>
      <c r="L103" s="106"/>
    </row>
    <row r="104" spans="2:12" ht="15">
      <c r="B104" s="21"/>
      <c r="K104" s="106"/>
      <c r="L104" s="106"/>
    </row>
    <row r="105" spans="2:12" ht="15">
      <c r="B105" s="21"/>
      <c r="K105" s="106"/>
      <c r="L105" s="106"/>
    </row>
    <row r="106" spans="2:12" ht="15">
      <c r="B106" s="21"/>
      <c r="K106" s="106"/>
      <c r="L106" s="106"/>
    </row>
    <row r="107" spans="2:12" ht="15">
      <c r="B107" s="21"/>
      <c r="K107" s="106"/>
      <c r="L107" s="106"/>
    </row>
    <row r="108" spans="2:12" ht="15">
      <c r="B108" s="21"/>
      <c r="K108" s="106"/>
      <c r="L108" s="106"/>
    </row>
    <row r="109" spans="2:12" ht="15">
      <c r="B109" s="21"/>
      <c r="K109" s="106"/>
      <c r="L109" s="106"/>
    </row>
    <row r="110" spans="2:12" ht="15">
      <c r="B110" s="21"/>
      <c r="K110" s="106"/>
      <c r="L110" s="106"/>
    </row>
    <row r="111" spans="2:12" ht="15">
      <c r="B111" s="21"/>
      <c r="K111" s="106"/>
      <c r="L111" s="106"/>
    </row>
    <row r="112" spans="2:12" ht="15">
      <c r="B112" s="21"/>
      <c r="C112" s="21"/>
      <c r="D112" s="21"/>
      <c r="E112" s="21"/>
      <c r="F112" s="21"/>
      <c r="G112" s="107"/>
      <c r="H112" s="107"/>
      <c r="I112" s="107"/>
      <c r="J112" s="21"/>
      <c r="K112" s="106"/>
      <c r="L112" s="106"/>
    </row>
    <row r="113" spans="2:12" ht="15">
      <c r="B113" s="21"/>
      <c r="C113" s="21"/>
      <c r="D113" s="21"/>
      <c r="E113" s="21"/>
      <c r="F113" s="21"/>
      <c r="G113" s="107"/>
      <c r="H113" s="107"/>
      <c r="I113" s="107"/>
      <c r="J113" s="21"/>
      <c r="K113" s="106"/>
      <c r="L113" s="106"/>
    </row>
    <row r="114" spans="2:12" ht="15">
      <c r="B114" s="21"/>
      <c r="C114" s="21"/>
      <c r="D114" s="21"/>
      <c r="E114" s="21"/>
      <c r="F114" s="21"/>
      <c r="G114" s="107"/>
      <c r="H114" s="107"/>
      <c r="I114" s="107"/>
      <c r="J114" s="21"/>
      <c r="K114" s="21"/>
      <c r="L114" s="21"/>
    </row>
    <row r="115" spans="2:12" ht="15">
      <c r="B115" s="21"/>
      <c r="C115" s="21"/>
      <c r="D115" s="21"/>
      <c r="E115" s="21"/>
      <c r="F115" s="21"/>
      <c r="G115" s="108"/>
      <c r="H115" s="108"/>
      <c r="I115" s="108"/>
      <c r="J115" s="21"/>
      <c r="K115" s="21"/>
      <c r="L115" s="21"/>
    </row>
    <row r="116" spans="2:10" ht="15"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2:10" ht="15"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2:10" ht="15">
      <c r="B118" s="21"/>
      <c r="C118" s="7"/>
      <c r="D118" s="21"/>
      <c r="E118" s="21"/>
      <c r="F118" s="21"/>
      <c r="G118" s="21"/>
      <c r="H118" s="21"/>
      <c r="I118" s="21"/>
      <c r="J118" s="21"/>
    </row>
    <row r="119" spans="2:10" ht="15"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2:10" ht="15"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2:10" ht="15"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2:10" ht="15">
      <c r="B122" s="21"/>
      <c r="C122" s="21"/>
      <c r="D122" s="21"/>
      <c r="E122" s="21"/>
      <c r="F122" s="21"/>
      <c r="G122" s="7"/>
      <c r="H122" s="21"/>
      <c r="I122" s="21"/>
      <c r="J122" s="21"/>
    </row>
    <row r="123" spans="2:10" ht="15">
      <c r="B123" s="21"/>
      <c r="C123" s="21"/>
      <c r="D123" s="21"/>
      <c r="E123" s="21"/>
      <c r="F123" s="21"/>
      <c r="G123" s="109"/>
      <c r="H123" s="106"/>
      <c r="I123" s="106"/>
      <c r="J123" s="106"/>
    </row>
    <row r="124" spans="2:10" ht="15">
      <c r="B124" s="21"/>
      <c r="C124" s="21"/>
      <c r="D124" s="21"/>
      <c r="E124" s="21"/>
      <c r="F124" s="21"/>
      <c r="G124" s="109"/>
      <c r="H124" s="106"/>
      <c r="I124" s="106"/>
      <c r="J124" s="6"/>
    </row>
    <row r="125" spans="2:10" ht="15">
      <c r="B125" s="21"/>
      <c r="C125" s="21"/>
      <c r="D125" s="21"/>
      <c r="E125" s="21"/>
      <c r="F125" s="21"/>
      <c r="G125" s="109"/>
      <c r="H125" s="106"/>
      <c r="I125" s="106"/>
      <c r="J125" s="6"/>
    </row>
    <row r="126" spans="2:10" ht="15">
      <c r="B126" s="21"/>
      <c r="C126" s="21"/>
      <c r="D126" s="21"/>
      <c r="E126" s="21"/>
      <c r="F126" s="21"/>
      <c r="G126" s="109"/>
      <c r="H126" s="106"/>
      <c r="I126" s="106"/>
      <c r="J126" s="6"/>
    </row>
    <row r="127" spans="2:10" ht="15">
      <c r="B127" s="21"/>
      <c r="C127" s="21"/>
      <c r="D127" s="21"/>
      <c r="E127" s="58"/>
      <c r="F127" s="58"/>
      <c r="G127" s="109"/>
      <c r="H127" s="106"/>
      <c r="I127" s="106"/>
      <c r="J127" s="6"/>
    </row>
    <row r="128" spans="2:10" ht="15">
      <c r="B128" s="21"/>
      <c r="C128" s="21"/>
      <c r="D128" s="21"/>
      <c r="E128" s="21"/>
      <c r="F128" s="21"/>
      <c r="G128" s="109"/>
      <c r="H128" s="106"/>
      <c r="I128" s="106"/>
      <c r="J128" s="6"/>
    </row>
    <row r="129" spans="2:10" ht="15">
      <c r="B129" s="21"/>
      <c r="C129" s="21"/>
      <c r="D129" s="21"/>
      <c r="E129" s="21"/>
      <c r="F129" s="21"/>
      <c r="G129" s="109"/>
      <c r="H129" s="106"/>
      <c r="I129" s="106"/>
      <c r="J129" s="6"/>
    </row>
    <row r="130" spans="2:10" ht="15">
      <c r="B130" s="21"/>
      <c r="C130" s="21"/>
      <c r="D130" s="21"/>
      <c r="E130" s="21"/>
      <c r="F130" s="21"/>
      <c r="G130" s="109"/>
      <c r="H130" s="106"/>
      <c r="I130" s="106"/>
      <c r="J130" s="6"/>
    </row>
    <row r="131" spans="2:10" ht="15">
      <c r="B131" s="21"/>
      <c r="C131" s="21"/>
      <c r="D131" s="21"/>
      <c r="E131" s="21"/>
      <c r="F131" s="21"/>
      <c r="G131" s="109"/>
      <c r="H131" s="106"/>
      <c r="I131" s="106"/>
      <c r="J131" s="6"/>
    </row>
    <row r="132" spans="2:10" ht="15">
      <c r="B132" s="21"/>
      <c r="C132" s="21"/>
      <c r="D132" s="21"/>
      <c r="E132" s="21"/>
      <c r="F132" s="21"/>
      <c r="G132" s="109"/>
      <c r="H132" s="106"/>
      <c r="I132" s="106"/>
      <c r="J132" s="6"/>
    </row>
    <row r="133" spans="2:10" ht="15">
      <c r="B133" s="21"/>
      <c r="C133" s="21"/>
      <c r="D133" s="21"/>
      <c r="E133" s="58"/>
      <c r="F133" s="58"/>
      <c r="G133" s="109"/>
      <c r="H133" s="106"/>
      <c r="I133" s="106"/>
      <c r="J133" s="6"/>
    </row>
    <row r="134" spans="2:10" ht="15">
      <c r="B134" s="21"/>
      <c r="C134" s="21"/>
      <c r="D134" s="21"/>
      <c r="E134" s="21"/>
      <c r="F134" s="21"/>
      <c r="G134" s="109"/>
      <c r="H134" s="106"/>
      <c r="I134" s="106"/>
      <c r="J134" s="6"/>
    </row>
    <row r="135" spans="2:10" ht="15">
      <c r="B135" s="21"/>
      <c r="C135" s="21"/>
      <c r="D135" s="21"/>
      <c r="E135" s="21"/>
      <c r="F135" s="21"/>
      <c r="G135" s="109"/>
      <c r="H135" s="106"/>
      <c r="I135" s="106"/>
      <c r="J135" s="6"/>
    </row>
    <row r="136" spans="2:10" ht="15">
      <c r="B136" s="21"/>
      <c r="C136" s="21"/>
      <c r="D136" s="21"/>
      <c r="E136" s="21"/>
      <c r="F136" s="21"/>
      <c r="G136" s="109"/>
      <c r="H136" s="106"/>
      <c r="I136" s="106"/>
      <c r="J136" s="6"/>
    </row>
    <row r="137" spans="2:10" ht="15">
      <c r="B137" s="21"/>
      <c r="C137" s="21"/>
      <c r="D137" s="21"/>
      <c r="E137" s="21"/>
      <c r="F137" s="21"/>
      <c r="G137" s="109"/>
      <c r="H137" s="106"/>
      <c r="I137" s="106"/>
      <c r="J137" s="6"/>
    </row>
    <row r="138" spans="2:10" ht="15">
      <c r="B138" s="21"/>
      <c r="C138" s="21"/>
      <c r="D138" s="21"/>
      <c r="E138" s="21"/>
      <c r="F138" s="21"/>
      <c r="G138" s="109"/>
      <c r="H138" s="106"/>
      <c r="I138" s="106"/>
      <c r="J138" s="6"/>
    </row>
    <row r="139" spans="2:10" ht="15">
      <c r="B139" s="21"/>
      <c r="C139" s="21"/>
      <c r="D139" s="21"/>
      <c r="E139" s="58"/>
      <c r="F139" s="58"/>
      <c r="G139" s="109"/>
      <c r="H139" s="106"/>
      <c r="I139" s="106"/>
      <c r="J139" s="6"/>
    </row>
    <row r="140" spans="2:10" ht="15">
      <c r="B140" s="21"/>
      <c r="C140" s="21"/>
      <c r="D140" s="21"/>
      <c r="E140" s="21"/>
      <c r="F140" s="21"/>
      <c r="G140" s="109"/>
      <c r="H140" s="106"/>
      <c r="I140" s="106"/>
      <c r="J140" s="6"/>
    </row>
    <row r="141" spans="2:10" ht="15">
      <c r="B141" s="21"/>
      <c r="C141" s="21"/>
      <c r="D141" s="21"/>
      <c r="E141" s="21"/>
      <c r="F141" s="21"/>
      <c r="G141" s="109"/>
      <c r="H141" s="106"/>
      <c r="I141" s="106"/>
      <c r="J141" s="6"/>
    </row>
    <row r="142" spans="2:10" ht="15">
      <c r="B142" s="21"/>
      <c r="C142" s="21"/>
      <c r="D142" s="21"/>
      <c r="E142" s="21"/>
      <c r="F142" s="21"/>
      <c r="G142" s="109"/>
      <c r="H142" s="106"/>
      <c r="I142" s="106"/>
      <c r="J142" s="6"/>
    </row>
    <row r="143" spans="2:10" ht="15">
      <c r="B143" s="21"/>
      <c r="C143" s="21"/>
      <c r="D143" s="21"/>
      <c r="E143" s="21"/>
      <c r="F143" s="21"/>
      <c r="G143" s="109"/>
      <c r="H143" s="106"/>
      <c r="I143" s="106"/>
      <c r="J143" s="6"/>
    </row>
    <row r="144" spans="2:10" ht="15">
      <c r="B144" s="21"/>
      <c r="C144" s="21"/>
      <c r="D144" s="21"/>
      <c r="E144" s="21"/>
      <c r="F144" s="21"/>
      <c r="G144" s="109"/>
      <c r="H144" s="110"/>
      <c r="I144" s="110"/>
      <c r="J144" s="10"/>
    </row>
    <row r="145" spans="2:10" ht="15"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2:10" ht="15"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2:10" ht="15"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2:10" ht="15"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2:10" ht="15"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2:10" ht="15"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2:10" ht="15"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2:10" ht="15"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2:10" ht="15"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2:10" ht="15"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2:10" ht="15"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20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</row>
    <row r="157" spans="1:20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</row>
    <row r="158" spans="1:20" ht="15">
      <c r="A158" s="38"/>
      <c r="B158" s="111"/>
      <c r="C158" s="102"/>
      <c r="D158" s="102"/>
      <c r="E158" s="102"/>
      <c r="F158" s="102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</row>
    <row r="159" spans="1:20" ht="15">
      <c r="A159" s="38"/>
      <c r="B159" s="100"/>
      <c r="C159" s="43"/>
      <c r="D159" s="112"/>
      <c r="E159" s="38"/>
      <c r="F159" s="43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</row>
    <row r="160" spans="1:20" ht="15">
      <c r="A160" s="38"/>
      <c r="B160" s="100"/>
      <c r="C160" s="43"/>
      <c r="D160" s="100"/>
      <c r="E160" s="48"/>
      <c r="F160" s="43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</row>
    <row r="161" spans="1:20" ht="15">
      <c r="A161" s="38"/>
      <c r="B161" s="100"/>
      <c r="C161" s="43"/>
      <c r="D161" s="100"/>
      <c r="E161" s="38"/>
      <c r="F161" s="43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1:20" ht="15">
      <c r="A162" s="38"/>
      <c r="B162" s="65"/>
      <c r="C162" s="113"/>
      <c r="D162" s="114"/>
      <c r="E162" s="115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1:20" ht="15">
      <c r="A163" s="38"/>
      <c r="B163" s="116"/>
      <c r="C163" s="38"/>
      <c r="D163" s="114"/>
      <c r="E163" s="115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1:20" ht="15">
      <c r="A164" s="38"/>
      <c r="B164" s="65"/>
      <c r="C164" s="38"/>
      <c r="D164" s="114"/>
      <c r="E164" s="115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1:20" ht="15">
      <c r="A165" s="38"/>
      <c r="B165" s="65"/>
      <c r="C165" s="38"/>
      <c r="D165" s="114"/>
      <c r="E165" s="115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1:20" ht="15">
      <c r="A166" s="38"/>
      <c r="B166" s="65"/>
      <c r="C166" s="38"/>
      <c r="D166" s="114"/>
      <c r="E166" s="115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1:20" ht="15">
      <c r="A167" s="38"/>
      <c r="B167" s="65"/>
      <c r="C167" s="38"/>
      <c r="D167" s="114"/>
      <c r="E167" s="115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1:20" ht="15">
      <c r="A168" s="38"/>
      <c r="B168" s="65"/>
      <c r="C168" s="38"/>
      <c r="D168" s="114"/>
      <c r="E168" s="115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1:20" ht="15">
      <c r="A169" s="38"/>
      <c r="B169" s="65"/>
      <c r="C169" s="38"/>
      <c r="D169" s="114"/>
      <c r="E169" s="115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1:20" ht="15">
      <c r="A170" s="38"/>
      <c r="B170" s="65"/>
      <c r="C170" s="38"/>
      <c r="D170" s="114"/>
      <c r="E170" s="115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1:20" ht="15">
      <c r="A171" s="38"/>
      <c r="B171" s="65"/>
      <c r="C171" s="38"/>
      <c r="D171" s="114"/>
      <c r="E171" s="115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1:20" ht="15">
      <c r="A172" s="38"/>
      <c r="B172" s="65"/>
      <c r="C172" s="38"/>
      <c r="D172" s="114"/>
      <c r="E172" s="115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1:20" ht="15">
      <c r="A173" s="38"/>
      <c r="B173" s="65"/>
      <c r="C173" s="38"/>
      <c r="D173" s="114"/>
      <c r="E173" s="115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1:20" ht="15">
      <c r="A174" s="38"/>
      <c r="B174" s="65"/>
      <c r="C174" s="38"/>
      <c r="D174" s="114"/>
      <c r="E174" s="115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1:20" ht="15">
      <c r="A175" s="38"/>
      <c r="B175" s="65"/>
      <c r="C175" s="38"/>
      <c r="D175" s="114"/>
      <c r="E175" s="115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1:20" ht="15">
      <c r="A176" s="38"/>
      <c r="B176" s="65"/>
      <c r="C176" s="38"/>
      <c r="D176" s="114"/>
      <c r="E176" s="115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1:20" ht="15">
      <c r="A177" s="38"/>
      <c r="B177" s="65"/>
      <c r="C177" s="38"/>
      <c r="D177" s="114"/>
      <c r="E177" s="115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1:20" ht="15">
      <c r="A178" s="38"/>
      <c r="B178" s="65"/>
      <c r="C178" s="38"/>
      <c r="D178" s="114"/>
      <c r="E178" s="115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5">
      <c r="A179" s="38"/>
      <c r="B179" s="65"/>
      <c r="C179" s="64"/>
      <c r="D179" s="117"/>
      <c r="E179" s="115"/>
      <c r="F179" s="64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1:20" ht="1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</row>
    <row r="181" spans="1:20" ht="1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</row>
    <row r="182" spans="1:20" ht="15">
      <c r="A182" s="38"/>
      <c r="B182" s="38"/>
      <c r="C182" s="38"/>
      <c r="D182" s="38"/>
      <c r="E182" s="38"/>
      <c r="F182" s="38"/>
      <c r="G182" s="38"/>
      <c r="H182" s="64"/>
      <c r="I182" s="38"/>
      <c r="J182" s="38"/>
      <c r="K182" s="38"/>
      <c r="L182" s="38"/>
      <c r="M182" s="38"/>
      <c r="N182" s="38"/>
      <c r="O182" s="64"/>
      <c r="P182" s="38"/>
      <c r="Q182" s="38"/>
      <c r="R182" s="38"/>
      <c r="S182" s="38"/>
      <c r="T182" s="38"/>
    </row>
    <row r="183" spans="1:20" ht="1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</row>
    <row r="184" spans="1:20" ht="15">
      <c r="A184" s="38"/>
      <c r="B184" s="38"/>
      <c r="C184" s="38"/>
      <c r="D184" s="38"/>
      <c r="E184" s="38"/>
      <c r="F184" s="38"/>
      <c r="G184" s="38"/>
      <c r="H184" s="43"/>
      <c r="I184" s="43"/>
      <c r="J184" s="43"/>
      <c r="K184" s="112"/>
      <c r="L184" s="112"/>
      <c r="M184" s="66"/>
      <c r="N184" s="38"/>
      <c r="O184" s="66"/>
      <c r="P184" s="66"/>
      <c r="Q184" s="66"/>
      <c r="R184" s="38"/>
      <c r="S184" s="38"/>
      <c r="T184" s="38"/>
    </row>
    <row r="185" spans="1:20" ht="15">
      <c r="A185" s="38"/>
      <c r="B185" s="38"/>
      <c r="C185" s="64"/>
      <c r="D185" s="64"/>
      <c r="E185" s="64"/>
      <c r="F185" s="64"/>
      <c r="G185" s="38"/>
      <c r="H185" s="43"/>
      <c r="I185" s="43"/>
      <c r="J185" s="43"/>
      <c r="K185" s="112"/>
      <c r="L185" s="112"/>
      <c r="M185" s="66"/>
      <c r="N185" s="38"/>
      <c r="O185" s="66"/>
      <c r="P185" s="66"/>
      <c r="Q185" s="66"/>
      <c r="R185" s="38"/>
      <c r="S185" s="38"/>
      <c r="T185" s="38"/>
    </row>
    <row r="186" spans="1:20" ht="15">
      <c r="A186" s="38"/>
      <c r="B186" s="38"/>
      <c r="C186" s="106"/>
      <c r="D186" s="106"/>
      <c r="E186" s="106"/>
      <c r="F186" s="106"/>
      <c r="G186" s="38"/>
      <c r="H186" s="43"/>
      <c r="I186" s="43"/>
      <c r="J186" s="43"/>
      <c r="K186" s="112"/>
      <c r="L186" s="112"/>
      <c r="M186" s="66"/>
      <c r="N186" s="38"/>
      <c r="O186" s="66"/>
      <c r="P186" s="66"/>
      <c r="Q186" s="66"/>
      <c r="R186" s="38"/>
      <c r="S186" s="38"/>
      <c r="T186" s="38"/>
    </row>
    <row r="187" spans="1:20" ht="15">
      <c r="A187" s="38"/>
      <c r="B187" s="67"/>
      <c r="C187" s="106"/>
      <c r="D187" s="106"/>
      <c r="E187" s="106"/>
      <c r="F187" s="106"/>
      <c r="G187" s="65"/>
      <c r="H187" s="38"/>
      <c r="I187" s="38"/>
      <c r="J187" s="38"/>
      <c r="K187" s="63"/>
      <c r="L187" s="63"/>
      <c r="M187" s="64"/>
      <c r="N187" s="38"/>
      <c r="O187" s="38"/>
      <c r="P187" s="38"/>
      <c r="Q187" s="38"/>
      <c r="R187" s="38"/>
      <c r="S187" s="38"/>
      <c r="T187" s="38"/>
    </row>
    <row r="188" spans="1:20" ht="15">
      <c r="A188" s="38"/>
      <c r="B188" s="67"/>
      <c r="C188" s="106"/>
      <c r="D188" s="106"/>
      <c r="E188" s="106"/>
      <c r="F188" s="106"/>
      <c r="G188" s="116"/>
      <c r="H188" s="38"/>
      <c r="I188" s="38"/>
      <c r="J188" s="38"/>
      <c r="K188" s="63"/>
      <c r="L188" s="63"/>
      <c r="M188" s="64"/>
      <c r="N188" s="38"/>
      <c r="O188" s="38"/>
      <c r="P188" s="38"/>
      <c r="Q188" s="38"/>
      <c r="R188" s="38"/>
      <c r="S188" s="38"/>
      <c r="T188" s="38"/>
    </row>
    <row r="189" spans="1:20" ht="15">
      <c r="A189" s="38"/>
      <c r="B189" s="104"/>
      <c r="C189" s="106"/>
      <c r="D189" s="106"/>
      <c r="E189" s="106"/>
      <c r="F189" s="106"/>
      <c r="G189" s="65"/>
      <c r="H189" s="38"/>
      <c r="I189" s="38"/>
      <c r="J189" s="38"/>
      <c r="K189" s="63"/>
      <c r="L189" s="63"/>
      <c r="M189" s="64"/>
      <c r="N189" s="38"/>
      <c r="O189" s="38"/>
      <c r="P189" s="38"/>
      <c r="Q189" s="38"/>
      <c r="R189" s="38"/>
      <c r="S189" s="38"/>
      <c r="T189" s="38"/>
    </row>
    <row r="190" spans="1:20" ht="15">
      <c r="A190" s="38"/>
      <c r="B190" s="67"/>
      <c r="C190" s="106"/>
      <c r="D190" s="106"/>
      <c r="E190" s="106"/>
      <c r="F190" s="106"/>
      <c r="G190" s="65"/>
      <c r="H190" s="118"/>
      <c r="I190" s="118"/>
      <c r="J190" s="118"/>
      <c r="K190" s="63"/>
      <c r="L190" s="63"/>
      <c r="M190" s="64"/>
      <c r="N190" s="38"/>
      <c r="O190" s="118"/>
      <c r="P190" s="38"/>
      <c r="Q190" s="38"/>
      <c r="R190" s="38"/>
      <c r="S190" s="38"/>
      <c r="T190" s="38"/>
    </row>
    <row r="191" spans="1:20" ht="15">
      <c r="A191" s="38"/>
      <c r="B191" s="67"/>
      <c r="C191" s="106"/>
      <c r="D191" s="106"/>
      <c r="E191" s="106"/>
      <c r="F191" s="106"/>
      <c r="G191" s="65"/>
      <c r="H191" s="118"/>
      <c r="I191" s="118"/>
      <c r="J191" s="118"/>
      <c r="K191" s="63"/>
      <c r="L191" s="63"/>
      <c r="M191" s="64"/>
      <c r="N191" s="38"/>
      <c r="O191" s="38"/>
      <c r="P191" s="38"/>
      <c r="Q191" s="38"/>
      <c r="R191" s="38"/>
      <c r="S191" s="38"/>
      <c r="T191" s="38"/>
    </row>
    <row r="192" spans="1:20" ht="15">
      <c r="A192" s="38"/>
      <c r="B192" s="67"/>
      <c r="C192" s="106"/>
      <c r="D192" s="106"/>
      <c r="E192" s="106"/>
      <c r="F192" s="106"/>
      <c r="G192" s="65"/>
      <c r="H192" s="118"/>
      <c r="I192" s="118"/>
      <c r="J192" s="118"/>
      <c r="K192" s="63"/>
      <c r="L192" s="63"/>
      <c r="M192" s="64"/>
      <c r="N192" s="38"/>
      <c r="O192" s="38"/>
      <c r="P192" s="38"/>
      <c r="Q192" s="38"/>
      <c r="R192" s="38"/>
      <c r="S192" s="38"/>
      <c r="T192" s="38"/>
    </row>
    <row r="193" spans="1:20" ht="15">
      <c r="A193" s="38"/>
      <c r="B193" s="67"/>
      <c r="C193" s="106"/>
      <c r="D193" s="106"/>
      <c r="E193" s="106"/>
      <c r="F193" s="106"/>
      <c r="G193" s="65"/>
      <c r="H193" s="118"/>
      <c r="I193" s="118"/>
      <c r="J193" s="118"/>
      <c r="K193" s="63"/>
      <c r="L193" s="63"/>
      <c r="M193" s="64"/>
      <c r="N193" s="38"/>
      <c r="O193" s="38"/>
      <c r="P193" s="38"/>
      <c r="Q193" s="38"/>
      <c r="R193" s="38"/>
      <c r="S193" s="38"/>
      <c r="T193" s="38"/>
    </row>
    <row r="194" spans="1:20" ht="15">
      <c r="A194" s="38"/>
      <c r="B194" s="67"/>
      <c r="C194" s="106"/>
      <c r="D194" s="106"/>
      <c r="E194" s="106"/>
      <c r="F194" s="106"/>
      <c r="G194" s="65"/>
      <c r="H194" s="118"/>
      <c r="I194" s="118"/>
      <c r="J194" s="118"/>
      <c r="K194" s="63"/>
      <c r="L194" s="63"/>
      <c r="M194" s="64"/>
      <c r="N194" s="38"/>
      <c r="O194" s="38"/>
      <c r="P194" s="38"/>
      <c r="Q194" s="38"/>
      <c r="R194" s="38"/>
      <c r="S194" s="38"/>
      <c r="T194" s="38"/>
    </row>
    <row r="195" spans="1:20" ht="15">
      <c r="A195" s="38"/>
      <c r="B195" s="67"/>
      <c r="C195" s="106"/>
      <c r="D195" s="106"/>
      <c r="E195" s="106"/>
      <c r="F195" s="106"/>
      <c r="G195" s="65"/>
      <c r="H195" s="118"/>
      <c r="I195" s="118"/>
      <c r="J195" s="118"/>
      <c r="K195" s="63"/>
      <c r="L195" s="63"/>
      <c r="M195" s="64"/>
      <c r="N195" s="38"/>
      <c r="O195" s="38"/>
      <c r="P195" s="38"/>
      <c r="Q195" s="38"/>
      <c r="R195" s="38"/>
      <c r="S195" s="38"/>
      <c r="T195" s="38"/>
    </row>
    <row r="196" spans="1:20" ht="15">
      <c r="A196" s="38"/>
      <c r="B196" s="67"/>
      <c r="C196" s="106"/>
      <c r="D196" s="106"/>
      <c r="E196" s="106"/>
      <c r="F196" s="106"/>
      <c r="G196" s="65"/>
      <c r="H196" s="118"/>
      <c r="I196" s="118"/>
      <c r="J196" s="118"/>
      <c r="K196" s="63"/>
      <c r="L196" s="63"/>
      <c r="M196" s="64"/>
      <c r="N196" s="38"/>
      <c r="O196" s="38"/>
      <c r="P196" s="38"/>
      <c r="Q196" s="38"/>
      <c r="R196" s="38"/>
      <c r="S196" s="38"/>
      <c r="T196" s="38"/>
    </row>
    <row r="197" spans="1:20" ht="15">
      <c r="A197" s="38"/>
      <c r="B197" s="67"/>
      <c r="C197" s="106"/>
      <c r="D197" s="106"/>
      <c r="E197" s="106"/>
      <c r="F197" s="106"/>
      <c r="G197" s="65"/>
      <c r="H197" s="118"/>
      <c r="I197" s="118"/>
      <c r="J197" s="118"/>
      <c r="K197" s="63"/>
      <c r="L197" s="63"/>
      <c r="M197" s="64"/>
      <c r="N197" s="38"/>
      <c r="O197" s="38"/>
      <c r="P197" s="38"/>
      <c r="Q197" s="38"/>
      <c r="R197" s="38"/>
      <c r="S197" s="38"/>
      <c r="T197" s="38"/>
    </row>
    <row r="198" spans="1:20" ht="15">
      <c r="A198" s="38"/>
      <c r="B198" s="67"/>
      <c r="C198" s="106"/>
      <c r="D198" s="106"/>
      <c r="E198" s="106"/>
      <c r="F198" s="106"/>
      <c r="G198" s="65"/>
      <c r="H198" s="118"/>
      <c r="I198" s="118"/>
      <c r="J198" s="118"/>
      <c r="K198" s="63"/>
      <c r="L198" s="63"/>
      <c r="M198" s="64"/>
      <c r="N198" s="38"/>
      <c r="O198" s="38"/>
      <c r="P198" s="38"/>
      <c r="Q198" s="38"/>
      <c r="R198" s="38"/>
      <c r="S198" s="38"/>
      <c r="T198" s="38"/>
    </row>
    <row r="199" spans="1:20" ht="15">
      <c r="A199" s="38"/>
      <c r="B199" s="67"/>
      <c r="C199" s="106"/>
      <c r="D199" s="106"/>
      <c r="E199" s="106"/>
      <c r="F199" s="106"/>
      <c r="G199" s="65"/>
      <c r="H199" s="118"/>
      <c r="I199" s="118"/>
      <c r="J199" s="118"/>
      <c r="K199" s="63"/>
      <c r="L199" s="63"/>
      <c r="M199" s="64"/>
      <c r="N199" s="38"/>
      <c r="O199" s="38"/>
      <c r="P199" s="38"/>
      <c r="Q199" s="38"/>
      <c r="R199" s="38"/>
      <c r="S199" s="38"/>
      <c r="T199" s="38"/>
    </row>
    <row r="200" spans="1:20" ht="15">
      <c r="A200" s="38"/>
      <c r="B200" s="67"/>
      <c r="C200" s="106"/>
      <c r="D200" s="106"/>
      <c r="E200" s="106"/>
      <c r="F200" s="106"/>
      <c r="G200" s="65"/>
      <c r="H200" s="118"/>
      <c r="I200" s="118"/>
      <c r="J200" s="118"/>
      <c r="K200" s="63"/>
      <c r="L200" s="63"/>
      <c r="M200" s="64"/>
      <c r="N200" s="38"/>
      <c r="O200" s="38"/>
      <c r="P200" s="38"/>
      <c r="Q200" s="38"/>
      <c r="R200" s="38"/>
      <c r="S200" s="38"/>
      <c r="T200" s="38"/>
    </row>
    <row r="201" spans="1:20" ht="15">
      <c r="A201" s="38"/>
      <c r="B201" s="67"/>
      <c r="C201" s="106"/>
      <c r="D201" s="106"/>
      <c r="E201" s="106"/>
      <c r="F201" s="106"/>
      <c r="G201" s="65"/>
      <c r="H201" s="118"/>
      <c r="I201" s="118"/>
      <c r="J201" s="118"/>
      <c r="K201" s="63"/>
      <c r="L201" s="63"/>
      <c r="M201" s="64"/>
      <c r="N201" s="38"/>
      <c r="O201" s="38"/>
      <c r="P201" s="38"/>
      <c r="Q201" s="38"/>
      <c r="R201" s="38"/>
      <c r="S201" s="38"/>
      <c r="T201" s="38"/>
    </row>
    <row r="202" spans="1:20" ht="15">
      <c r="A202" s="38"/>
      <c r="B202" s="67"/>
      <c r="C202" s="106"/>
      <c r="D202" s="106"/>
      <c r="E202" s="106"/>
      <c r="F202" s="106"/>
      <c r="G202" s="65"/>
      <c r="H202" s="118"/>
      <c r="I202" s="118"/>
      <c r="J202" s="118"/>
      <c r="K202" s="63"/>
      <c r="L202" s="63"/>
      <c r="M202" s="64"/>
      <c r="N202" s="38"/>
      <c r="O202" s="38"/>
      <c r="P202" s="38"/>
      <c r="Q202" s="38"/>
      <c r="R202" s="38"/>
      <c r="S202" s="38"/>
      <c r="T202" s="38"/>
    </row>
    <row r="203" spans="1:20" ht="15">
      <c r="A203" s="38"/>
      <c r="B203" s="67"/>
      <c r="C203" s="106"/>
      <c r="D203" s="106"/>
      <c r="E203" s="106"/>
      <c r="F203" s="106"/>
      <c r="G203" s="65"/>
      <c r="H203" s="118"/>
      <c r="I203" s="118"/>
      <c r="J203" s="118"/>
      <c r="K203" s="63"/>
      <c r="L203" s="63"/>
      <c r="M203" s="64"/>
      <c r="N203" s="38"/>
      <c r="O203" s="38"/>
      <c r="P203" s="38"/>
      <c r="Q203" s="38"/>
      <c r="R203" s="38"/>
      <c r="S203" s="38"/>
      <c r="T203" s="38"/>
    </row>
    <row r="204" spans="1:20" ht="15">
      <c r="A204" s="38"/>
      <c r="B204" s="67"/>
      <c r="C204" s="119"/>
      <c r="D204" s="119"/>
      <c r="E204" s="119"/>
      <c r="F204" s="119"/>
      <c r="G204" s="65"/>
      <c r="H204" s="62"/>
      <c r="I204" s="62"/>
      <c r="J204" s="68"/>
      <c r="K204" s="64"/>
      <c r="L204" s="64"/>
      <c r="M204" s="64"/>
      <c r="N204" s="38"/>
      <c r="O204" s="64"/>
      <c r="P204" s="64"/>
      <c r="Q204" s="64"/>
      <c r="R204" s="38"/>
      <c r="S204" s="38"/>
      <c r="T204" s="38"/>
    </row>
    <row r="205" spans="1:20" ht="15">
      <c r="A205" s="38"/>
      <c r="B205" s="67"/>
      <c r="C205" s="106"/>
      <c r="D205" s="106"/>
      <c r="E205" s="106"/>
      <c r="F205" s="106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</row>
    <row r="206" spans="1:20" ht="15">
      <c r="A206" s="38"/>
      <c r="B206" s="120"/>
      <c r="C206" s="106"/>
      <c r="D206" s="106"/>
      <c r="E206" s="106"/>
      <c r="F206" s="106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</row>
    <row r="207" spans="1:20" ht="15">
      <c r="A207" s="38"/>
      <c r="B207" s="120"/>
      <c r="C207" s="106"/>
      <c r="D207" s="106"/>
      <c r="E207" s="106"/>
      <c r="F207" s="106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</row>
    <row r="208" spans="2:10" ht="15">
      <c r="B208" s="121"/>
      <c r="C208" s="109"/>
      <c r="D208" s="109"/>
      <c r="E208" s="109"/>
      <c r="F208" s="109"/>
      <c r="G208" s="21"/>
      <c r="H208" s="21"/>
      <c r="I208" s="21"/>
      <c r="J208" s="21"/>
    </row>
    <row r="209" spans="2:10" ht="15">
      <c r="B209" s="122"/>
      <c r="C209" s="109"/>
      <c r="D209" s="109"/>
      <c r="E209" s="109"/>
      <c r="F209" s="109"/>
      <c r="G209" s="21"/>
      <c r="H209" s="21"/>
      <c r="I209" s="21"/>
      <c r="J209" s="21"/>
    </row>
    <row r="210" spans="2:10" ht="15">
      <c r="B210" s="122"/>
      <c r="C210" s="109"/>
      <c r="D210" s="109"/>
      <c r="E210" s="109"/>
      <c r="F210" s="109"/>
      <c r="G210" s="21"/>
      <c r="H210" s="21"/>
      <c r="I210" s="21"/>
      <c r="J210" s="21"/>
    </row>
    <row r="211" spans="2:10" ht="15">
      <c r="B211" s="23"/>
      <c r="C211" s="109"/>
      <c r="D211" s="109"/>
      <c r="E211" s="109"/>
      <c r="F211" s="109"/>
      <c r="G211" s="21"/>
      <c r="H211" s="21"/>
      <c r="I211" s="21"/>
      <c r="J211" s="21"/>
    </row>
    <row r="212" spans="2:10" ht="15"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2:10" ht="15"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2:10" ht="15">
      <c r="B214" s="21"/>
      <c r="C214" s="109"/>
      <c r="D214" s="109"/>
      <c r="E214" s="109"/>
      <c r="F214" s="109"/>
      <c r="G214" s="21"/>
      <c r="H214" s="21"/>
      <c r="I214" s="21"/>
      <c r="J214" s="21"/>
    </row>
    <row r="215" spans="2:10" ht="15">
      <c r="B215" s="21"/>
      <c r="C215" s="109"/>
      <c r="D215" s="109"/>
      <c r="E215" s="109"/>
      <c r="F215" s="109"/>
      <c r="G215" s="21"/>
      <c r="H215" s="21"/>
      <c r="I215" s="21"/>
      <c r="J215" s="21"/>
    </row>
    <row r="216" spans="2:10" ht="15">
      <c r="B216" s="21"/>
      <c r="C216" s="109"/>
      <c r="D216" s="109"/>
      <c r="E216" s="109"/>
      <c r="F216" s="109"/>
      <c r="G216" s="21"/>
      <c r="H216" s="21"/>
      <c r="I216" s="21"/>
      <c r="J216" s="21"/>
    </row>
    <row r="217" spans="2:10" ht="15">
      <c r="B217" s="21"/>
      <c r="C217" s="109"/>
      <c r="D217" s="109"/>
      <c r="E217" s="109"/>
      <c r="F217" s="109"/>
      <c r="G217" s="21"/>
      <c r="H217" s="21"/>
      <c r="I217" s="21"/>
      <c r="J217" s="21"/>
    </row>
    <row r="218" spans="2:10" ht="15">
      <c r="B218" s="21"/>
      <c r="C218" s="109"/>
      <c r="D218" s="109"/>
      <c r="E218" s="109"/>
      <c r="F218" s="109"/>
      <c r="G218" s="21"/>
      <c r="H218" s="21"/>
      <c r="I218" s="21"/>
      <c r="J218" s="21"/>
    </row>
    <row r="219" spans="2:10" ht="15">
      <c r="B219" s="21"/>
      <c r="C219" s="109"/>
      <c r="D219" s="109"/>
      <c r="E219" s="109"/>
      <c r="F219" s="109"/>
      <c r="G219" s="21"/>
      <c r="H219" s="21"/>
      <c r="I219" s="21"/>
      <c r="J219" s="21"/>
    </row>
    <row r="220" spans="2:10" ht="15">
      <c r="B220" s="21"/>
      <c r="C220" s="109"/>
      <c r="D220" s="109"/>
      <c r="E220" s="109"/>
      <c r="F220" s="109"/>
      <c r="G220" s="21"/>
      <c r="H220" s="21"/>
      <c r="I220" s="21"/>
      <c r="J220" s="21"/>
    </row>
    <row r="221" spans="2:10" ht="15">
      <c r="B221" s="21"/>
      <c r="C221" s="109"/>
      <c r="D221" s="109"/>
      <c r="E221" s="109"/>
      <c r="F221" s="109"/>
      <c r="G221" s="21"/>
      <c r="H221" s="21"/>
      <c r="I221" s="21"/>
      <c r="J221" s="21"/>
    </row>
    <row r="222" spans="2:10" ht="15">
      <c r="B222" s="21"/>
      <c r="C222" s="109"/>
      <c r="D222" s="109"/>
      <c r="E222" s="109"/>
      <c r="F222" s="109"/>
      <c r="G222" s="21"/>
      <c r="H222" s="21"/>
      <c r="I222" s="21"/>
      <c r="J222" s="21"/>
    </row>
    <row r="223" spans="2:10" ht="15">
      <c r="B223" s="21"/>
      <c r="C223" s="109"/>
      <c r="D223" s="109"/>
      <c r="E223" s="109"/>
      <c r="F223" s="109"/>
      <c r="G223" s="21"/>
      <c r="H223" s="21"/>
      <c r="I223" s="21"/>
      <c r="J223" s="21"/>
    </row>
    <row r="224" spans="2:10" ht="15">
      <c r="B224" s="21"/>
      <c r="C224" s="109"/>
      <c r="D224" s="109"/>
      <c r="E224" s="109"/>
      <c r="F224" s="109"/>
      <c r="G224" s="21"/>
      <c r="H224" s="21"/>
      <c r="I224" s="21"/>
      <c r="J224" s="21"/>
    </row>
    <row r="225" spans="2:10" ht="15">
      <c r="B225" s="21"/>
      <c r="C225" s="109"/>
      <c r="D225" s="109"/>
      <c r="E225" s="109"/>
      <c r="F225" s="109"/>
      <c r="G225" s="21"/>
      <c r="H225" s="21"/>
      <c r="I225" s="21"/>
      <c r="J225" s="21"/>
    </row>
    <row r="226" spans="2:10" ht="15">
      <c r="B226" s="21"/>
      <c r="C226" s="109"/>
      <c r="D226" s="109"/>
      <c r="E226" s="109"/>
      <c r="F226" s="109"/>
      <c r="G226" s="21"/>
      <c r="H226" s="21"/>
      <c r="I226" s="21"/>
      <c r="J226" s="21"/>
    </row>
    <row r="227" spans="2:10" ht="15">
      <c r="B227" s="21"/>
      <c r="C227" s="109"/>
      <c r="D227" s="109"/>
      <c r="E227" s="109"/>
      <c r="F227" s="109"/>
      <c r="G227" s="21"/>
      <c r="H227" s="21"/>
      <c r="I227" s="21"/>
      <c r="J227" s="21"/>
    </row>
    <row r="228" spans="2:10" ht="15">
      <c r="B228" s="21"/>
      <c r="C228" s="109"/>
      <c r="D228" s="109"/>
      <c r="E228" s="109"/>
      <c r="F228" s="109"/>
      <c r="G228" s="21"/>
      <c r="H228" s="21"/>
      <c r="I228" s="21"/>
      <c r="J228" s="21"/>
    </row>
    <row r="229" spans="2:10" ht="15">
      <c r="B229" s="21"/>
      <c r="C229" s="109"/>
      <c r="D229" s="109"/>
      <c r="E229" s="109"/>
      <c r="F229" s="109"/>
      <c r="G229" s="21"/>
      <c r="H229" s="21"/>
      <c r="I229" s="21"/>
      <c r="J229" s="21"/>
    </row>
    <row r="230" spans="2:10" ht="15">
      <c r="B230" s="21"/>
      <c r="C230" s="109"/>
      <c r="D230" s="109"/>
      <c r="E230" s="109"/>
      <c r="F230" s="109"/>
      <c r="G230" s="21"/>
      <c r="H230" s="21"/>
      <c r="I230" s="21"/>
      <c r="J230" s="21"/>
    </row>
    <row r="231" spans="2:10" ht="15">
      <c r="B231" s="21"/>
      <c r="C231" s="109"/>
      <c r="D231" s="109"/>
      <c r="E231" s="109"/>
      <c r="F231" s="109"/>
      <c r="G231" s="21"/>
      <c r="H231" s="21"/>
      <c r="I231" s="21"/>
      <c r="J231" s="21"/>
    </row>
    <row r="232" spans="2:10" ht="15">
      <c r="B232" s="21"/>
      <c r="C232" s="109"/>
      <c r="D232" s="109"/>
      <c r="E232" s="109"/>
      <c r="F232" s="109"/>
      <c r="G232" s="21"/>
      <c r="H232" s="21"/>
      <c r="I232" s="21"/>
      <c r="J232" s="21"/>
    </row>
    <row r="233" spans="2:10" ht="15">
      <c r="B233" s="21"/>
      <c r="C233" s="109"/>
      <c r="D233" s="109"/>
      <c r="E233" s="109"/>
      <c r="F233" s="109"/>
      <c r="G233" s="21"/>
      <c r="H233" s="21"/>
      <c r="I233" s="21"/>
      <c r="J233" s="21"/>
    </row>
    <row r="234" spans="2:10" ht="15">
      <c r="B234" s="21"/>
      <c r="C234" s="109"/>
      <c r="D234" s="109"/>
      <c r="E234" s="109"/>
      <c r="F234" s="109"/>
      <c r="G234" s="21"/>
      <c r="H234" s="21"/>
      <c r="I234" s="21"/>
      <c r="J234" s="21"/>
    </row>
    <row r="235" spans="2:10" ht="15"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2:18" ht="15">
      <c r="B236" s="21"/>
      <c r="C236" s="21"/>
      <c r="D236" s="21"/>
      <c r="E236" s="21"/>
      <c r="F236" s="21"/>
      <c r="G236" s="21"/>
      <c r="H236" s="21"/>
      <c r="I236" s="21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2:18" ht="15">
      <c r="B237" s="21"/>
      <c r="C237" s="21"/>
      <c r="D237" s="21"/>
      <c r="E237" s="21"/>
      <c r="F237" s="21"/>
      <c r="G237" s="21"/>
      <c r="H237" s="21"/>
      <c r="I237" s="21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2:18" ht="15">
      <c r="B238" s="21"/>
      <c r="C238" s="9"/>
      <c r="D238" s="7"/>
      <c r="E238" s="7"/>
      <c r="F238" s="7"/>
      <c r="G238" s="7"/>
      <c r="H238" s="7"/>
      <c r="I238" s="7"/>
      <c r="J238" s="63"/>
      <c r="K238" s="64"/>
      <c r="L238" s="64"/>
      <c r="M238" s="64"/>
      <c r="N238" s="64"/>
      <c r="O238" s="64"/>
      <c r="P238" s="123"/>
      <c r="Q238" s="105"/>
      <c r="R238" s="38"/>
    </row>
    <row r="239" spans="2:18" ht="15">
      <c r="B239" s="21"/>
      <c r="C239" s="9"/>
      <c r="D239" s="109"/>
      <c r="E239" s="109"/>
      <c r="F239" s="109"/>
      <c r="G239" s="109"/>
      <c r="H239" s="109"/>
      <c r="I239" s="109"/>
      <c r="J239" s="106"/>
      <c r="K239" s="106"/>
      <c r="L239" s="106"/>
      <c r="M239" s="106"/>
      <c r="N239" s="106"/>
      <c r="O239" s="106"/>
      <c r="P239" s="106"/>
      <c r="Q239" s="106"/>
      <c r="R239" s="38"/>
    </row>
    <row r="240" spans="2:18" ht="15">
      <c r="B240" s="21"/>
      <c r="C240" s="124"/>
      <c r="D240" s="109"/>
      <c r="E240" s="109"/>
      <c r="F240" s="109"/>
      <c r="G240" s="109"/>
      <c r="H240" s="109"/>
      <c r="I240" s="109"/>
      <c r="J240" s="106"/>
      <c r="K240" s="106"/>
      <c r="L240" s="106"/>
      <c r="M240" s="106"/>
      <c r="N240" s="106"/>
      <c r="O240" s="106"/>
      <c r="P240" s="106"/>
      <c r="Q240" s="106"/>
      <c r="R240" s="38"/>
    </row>
    <row r="241" spans="2:18" ht="15">
      <c r="B241" s="21"/>
      <c r="C241" s="124"/>
      <c r="D241" s="109"/>
      <c r="E241" s="109"/>
      <c r="F241" s="109"/>
      <c r="G241" s="109"/>
      <c r="H241" s="109"/>
      <c r="I241" s="109"/>
      <c r="J241" s="106"/>
      <c r="K241" s="106"/>
      <c r="L241" s="106"/>
      <c r="M241" s="106"/>
      <c r="N241" s="106"/>
      <c r="O241" s="106"/>
      <c r="P241" s="106"/>
      <c r="Q241" s="106"/>
      <c r="R241" s="38"/>
    </row>
    <row r="242" spans="2:18" ht="15">
      <c r="B242" s="21"/>
      <c r="C242" s="122"/>
      <c r="D242" s="109"/>
      <c r="E242" s="109"/>
      <c r="F242" s="109"/>
      <c r="G242" s="109"/>
      <c r="H242" s="109"/>
      <c r="I242" s="109"/>
      <c r="J242" s="106"/>
      <c r="K242" s="106"/>
      <c r="L242" s="106"/>
      <c r="M242" s="106"/>
      <c r="N242" s="106"/>
      <c r="O242" s="106"/>
      <c r="P242" s="106"/>
      <c r="Q242" s="106"/>
      <c r="R242" s="38"/>
    </row>
    <row r="243" spans="2:18" ht="15">
      <c r="B243" s="21"/>
      <c r="C243" s="124"/>
      <c r="D243" s="109"/>
      <c r="E243" s="109"/>
      <c r="F243" s="109"/>
      <c r="G243" s="109"/>
      <c r="H243" s="109"/>
      <c r="I243" s="109"/>
      <c r="J243" s="106"/>
      <c r="K243" s="106"/>
      <c r="L243" s="106"/>
      <c r="M243" s="106"/>
      <c r="N243" s="106"/>
      <c r="O243" s="106"/>
      <c r="P243" s="106"/>
      <c r="Q243" s="106"/>
      <c r="R243" s="38"/>
    </row>
    <row r="244" spans="2:18" ht="15">
      <c r="B244" s="21"/>
      <c r="C244" s="124"/>
      <c r="D244" s="109"/>
      <c r="E244" s="109"/>
      <c r="F244" s="109"/>
      <c r="G244" s="109"/>
      <c r="H244" s="109"/>
      <c r="I244" s="109"/>
      <c r="J244" s="106"/>
      <c r="K244" s="106"/>
      <c r="L244" s="106"/>
      <c r="M244" s="106"/>
      <c r="N244" s="106"/>
      <c r="O244" s="106"/>
      <c r="P244" s="106"/>
      <c r="Q244" s="106"/>
      <c r="R244" s="38"/>
    </row>
    <row r="245" spans="2:18" ht="15">
      <c r="B245" s="21"/>
      <c r="C245" s="124"/>
      <c r="D245" s="109"/>
      <c r="E245" s="109"/>
      <c r="F245" s="109"/>
      <c r="G245" s="109"/>
      <c r="H245" s="109"/>
      <c r="I245" s="109"/>
      <c r="J245" s="106"/>
      <c r="K245" s="106"/>
      <c r="L245" s="106"/>
      <c r="M245" s="106"/>
      <c r="N245" s="106"/>
      <c r="O245" s="106"/>
      <c r="P245" s="106"/>
      <c r="Q245" s="106"/>
      <c r="R245" s="38"/>
    </row>
    <row r="246" spans="2:18" ht="15.75">
      <c r="B246" s="21"/>
      <c r="C246" s="124"/>
      <c r="D246" s="125"/>
      <c r="E246" s="125"/>
      <c r="F246" s="125"/>
      <c r="G246" s="125"/>
      <c r="H246" s="125"/>
      <c r="I246" s="109"/>
      <c r="J246" s="106"/>
      <c r="K246" s="106"/>
      <c r="L246" s="106"/>
      <c r="M246" s="106"/>
      <c r="N246" s="106"/>
      <c r="O246" s="106"/>
      <c r="P246" s="106"/>
      <c r="Q246" s="106"/>
      <c r="R246" s="38"/>
    </row>
    <row r="247" spans="2:18" ht="15.75">
      <c r="B247" s="21"/>
      <c r="C247" s="124"/>
      <c r="D247" s="125"/>
      <c r="E247" s="125"/>
      <c r="F247" s="125"/>
      <c r="G247" s="109"/>
      <c r="H247" s="109"/>
      <c r="I247" s="109"/>
      <c r="J247" s="106"/>
      <c r="K247" s="106"/>
      <c r="L247" s="106"/>
      <c r="M247" s="106"/>
      <c r="N247" s="106"/>
      <c r="O247" s="106"/>
      <c r="P247" s="106"/>
      <c r="Q247" s="106"/>
      <c r="R247" s="38"/>
    </row>
    <row r="248" spans="2:18" ht="15.75">
      <c r="B248" s="21"/>
      <c r="C248" s="124"/>
      <c r="D248" s="125"/>
      <c r="E248" s="125"/>
      <c r="F248" s="125"/>
      <c r="G248" s="109"/>
      <c r="H248" s="109"/>
      <c r="I248" s="109"/>
      <c r="J248" s="106"/>
      <c r="K248" s="106"/>
      <c r="L248" s="106"/>
      <c r="M248" s="106"/>
      <c r="N248" s="106"/>
      <c r="O248" s="106"/>
      <c r="P248" s="106"/>
      <c r="Q248" s="106"/>
      <c r="R248" s="38"/>
    </row>
    <row r="249" spans="2:18" ht="15">
      <c r="B249" s="21"/>
      <c r="C249" s="124"/>
      <c r="D249" s="109"/>
      <c r="E249" s="109"/>
      <c r="F249" s="109"/>
      <c r="G249" s="109"/>
      <c r="H249" s="109"/>
      <c r="I249" s="109"/>
      <c r="J249" s="106"/>
      <c r="K249" s="106"/>
      <c r="L249" s="106"/>
      <c r="M249" s="106"/>
      <c r="N249" s="106"/>
      <c r="O249" s="106"/>
      <c r="P249" s="106"/>
      <c r="Q249" s="106"/>
      <c r="R249" s="38"/>
    </row>
    <row r="250" spans="2:18" ht="15">
      <c r="B250" s="21"/>
      <c r="C250" s="124"/>
      <c r="D250" s="109"/>
      <c r="E250" s="109"/>
      <c r="F250" s="109"/>
      <c r="G250" s="109"/>
      <c r="H250" s="109"/>
      <c r="I250" s="109"/>
      <c r="J250" s="106"/>
      <c r="K250" s="106"/>
      <c r="L250" s="106"/>
      <c r="M250" s="106"/>
      <c r="N250" s="106"/>
      <c r="O250" s="106"/>
      <c r="P250" s="106"/>
      <c r="Q250" s="106"/>
      <c r="R250" s="38"/>
    </row>
    <row r="251" spans="2:18" ht="15">
      <c r="B251" s="21"/>
      <c r="C251" s="124"/>
      <c r="D251" s="109"/>
      <c r="E251" s="109"/>
      <c r="F251" s="109"/>
      <c r="G251" s="109"/>
      <c r="H251" s="109"/>
      <c r="I251" s="109"/>
      <c r="J251" s="106"/>
      <c r="K251" s="106"/>
      <c r="L251" s="106"/>
      <c r="M251" s="106"/>
      <c r="N251" s="106"/>
      <c r="O251" s="106"/>
      <c r="P251" s="106"/>
      <c r="Q251" s="106"/>
      <c r="R251" s="38"/>
    </row>
    <row r="252" spans="2:18" ht="15">
      <c r="B252" s="21"/>
      <c r="C252" s="124"/>
      <c r="D252" s="109"/>
      <c r="E252" s="109"/>
      <c r="F252" s="109"/>
      <c r="G252" s="109"/>
      <c r="H252" s="109"/>
      <c r="I252" s="109"/>
      <c r="J252" s="106"/>
      <c r="K252" s="106"/>
      <c r="L252" s="106"/>
      <c r="M252" s="106"/>
      <c r="N252" s="106"/>
      <c r="O252" s="106"/>
      <c r="P252" s="106"/>
      <c r="Q252" s="106"/>
      <c r="R252" s="38"/>
    </row>
    <row r="253" spans="2:18" ht="15">
      <c r="B253" s="21"/>
      <c r="C253" s="124"/>
      <c r="D253" s="109"/>
      <c r="E253" s="109"/>
      <c r="F253" s="109"/>
      <c r="G253" s="109"/>
      <c r="H253" s="109"/>
      <c r="I253" s="109"/>
      <c r="J253" s="106"/>
      <c r="K253" s="106"/>
      <c r="L253" s="106"/>
      <c r="M253" s="106"/>
      <c r="N253" s="106"/>
      <c r="O253" s="106"/>
      <c r="P253" s="106"/>
      <c r="Q253" s="106"/>
      <c r="R253" s="38"/>
    </row>
    <row r="254" spans="2:18" ht="15">
      <c r="B254" s="21"/>
      <c r="C254" s="124"/>
      <c r="D254" s="109"/>
      <c r="E254" s="109"/>
      <c r="F254" s="109"/>
      <c r="G254" s="109"/>
      <c r="H254" s="109"/>
      <c r="I254" s="109"/>
      <c r="J254" s="106"/>
      <c r="K254" s="106"/>
      <c r="L254" s="106"/>
      <c r="M254" s="106"/>
      <c r="N254" s="106"/>
      <c r="O254" s="106"/>
      <c r="P254" s="106"/>
      <c r="Q254" s="106"/>
      <c r="R254" s="38"/>
    </row>
    <row r="255" spans="2:18" ht="15">
      <c r="B255" s="21"/>
      <c r="C255" s="124"/>
      <c r="D255" s="109"/>
      <c r="E255" s="109"/>
      <c r="F255" s="109"/>
      <c r="G255" s="109"/>
      <c r="H255" s="109"/>
      <c r="I255" s="109"/>
      <c r="J255" s="106"/>
      <c r="K255" s="106"/>
      <c r="L255" s="106"/>
      <c r="M255" s="106"/>
      <c r="N255" s="106"/>
      <c r="O255" s="106"/>
      <c r="P255" s="106"/>
      <c r="Q255" s="106"/>
      <c r="R255" s="38"/>
    </row>
    <row r="256" spans="2:18" ht="15.75">
      <c r="B256" s="21"/>
      <c r="C256" s="121"/>
      <c r="D256" s="125"/>
      <c r="E256" s="125"/>
      <c r="F256" s="125"/>
      <c r="G256" s="109"/>
      <c r="H256" s="109"/>
      <c r="I256" s="109"/>
      <c r="J256" s="106"/>
      <c r="K256" s="106"/>
      <c r="L256" s="106"/>
      <c r="M256" s="106"/>
      <c r="N256" s="106"/>
      <c r="O256" s="106"/>
      <c r="P256" s="106"/>
      <c r="Q256" s="106"/>
      <c r="R256" s="38"/>
    </row>
    <row r="257" spans="2:18" ht="15.75">
      <c r="B257" s="21"/>
      <c r="C257" s="120"/>
      <c r="D257" s="126"/>
      <c r="E257" s="126"/>
      <c r="F257" s="12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38"/>
    </row>
    <row r="258" spans="2:18" ht="15.75">
      <c r="B258" s="21"/>
      <c r="C258" s="120"/>
      <c r="D258" s="126"/>
      <c r="E258" s="126"/>
      <c r="F258" s="12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38"/>
    </row>
    <row r="259" spans="2:18" ht="15.75">
      <c r="B259" s="21"/>
      <c r="C259" s="104"/>
      <c r="D259" s="126"/>
      <c r="E259" s="126"/>
      <c r="F259" s="12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38"/>
    </row>
    <row r="260" spans="3:18" ht="15.75">
      <c r="C260" s="105"/>
      <c r="D260" s="127"/>
      <c r="E260" s="128"/>
      <c r="F260" s="126"/>
      <c r="G260" s="106"/>
      <c r="H260" s="106"/>
      <c r="I260" s="106"/>
      <c r="J260" s="106"/>
      <c r="K260" s="106"/>
      <c r="L260" s="106"/>
      <c r="M260" s="106"/>
      <c r="N260" s="106"/>
      <c r="O260" s="106"/>
      <c r="P260" s="52"/>
      <c r="Q260" s="52"/>
      <c r="R260" s="38"/>
    </row>
    <row r="261" spans="3:18" ht="15"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3:18" ht="15"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3:18" ht="15"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</sheetData>
  <sheetProtection/>
  <mergeCells count="14">
    <mergeCell ref="C6:E6"/>
    <mergeCell ref="H6:J6"/>
    <mergeCell ref="B48:B49"/>
    <mergeCell ref="C48:E48"/>
    <mergeCell ref="G3:J4"/>
    <mergeCell ref="B1:J1"/>
    <mergeCell ref="G6:G7"/>
    <mergeCell ref="B27:B28"/>
    <mergeCell ref="C27:E27"/>
    <mergeCell ref="G48:G49"/>
    <mergeCell ref="H48:J48"/>
    <mergeCell ref="G27:G28"/>
    <mergeCell ref="H27:J27"/>
    <mergeCell ref="B6:B7"/>
  </mergeCells>
  <printOptions/>
  <pageMargins left="0.25" right="0.25" top="0.75" bottom="0.75" header="0.3" footer="0.3"/>
  <pageSetup horizontalDpi="600" verticalDpi="600" orientation="portrait" scale="75" r:id="rId1"/>
  <headerFooter>
    <oddFooter>&amp;C&amp;"-,Cursiva"&amp;K01+049Depto. Estadísticas y Gestión de la Información - Servicio de Salud Osorno</oddFooter>
  </headerFooter>
  <ignoredErrors>
    <ignoredError sqref="H8:I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V1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17" sqref="L17"/>
    </sheetView>
  </sheetViews>
  <sheetFormatPr defaultColWidth="11.421875" defaultRowHeight="15"/>
  <cols>
    <col min="1" max="1" width="4.8515625" style="0" customWidth="1"/>
    <col min="2" max="6" width="14.421875" style="0" customWidth="1"/>
    <col min="7" max="7" width="15.57421875" style="0" customWidth="1"/>
    <col min="8" max="10" width="14.421875" style="0" customWidth="1"/>
    <col min="11" max="11" width="4.28125" style="0" customWidth="1"/>
    <col min="12" max="12" width="16.140625" style="0" customWidth="1"/>
    <col min="13" max="15" width="12.421875" style="0" customWidth="1"/>
    <col min="16" max="16" width="4.140625" style="0" customWidth="1"/>
    <col min="17" max="17" width="18.8515625" style="0" customWidth="1"/>
    <col min="18" max="18" width="10.140625" style="0" customWidth="1"/>
  </cols>
  <sheetData>
    <row r="1" spans="2:10" ht="15.75" thickBot="1">
      <c r="B1" s="255" t="s">
        <v>80</v>
      </c>
      <c r="C1" s="256"/>
      <c r="D1" s="256"/>
      <c r="E1" s="256"/>
      <c r="F1" s="256"/>
      <c r="G1" s="256"/>
      <c r="H1" s="256"/>
      <c r="I1" s="256"/>
      <c r="J1" s="257"/>
    </row>
    <row r="3" spans="2:10" s="182" customFormat="1" ht="12.75" customHeight="1">
      <c r="B3" s="181" t="s">
        <v>67</v>
      </c>
      <c r="C3" s="184" t="s">
        <v>31</v>
      </c>
      <c r="F3" s="183"/>
      <c r="G3" s="254" t="s">
        <v>81</v>
      </c>
      <c r="H3" s="254"/>
      <c r="I3" s="254"/>
      <c r="J3" s="254"/>
    </row>
    <row r="4" spans="2:10" s="182" customFormat="1" ht="12.75">
      <c r="B4" s="181" t="s">
        <v>44</v>
      </c>
      <c r="C4" s="185">
        <v>10306</v>
      </c>
      <c r="G4" s="254"/>
      <c r="H4" s="254"/>
      <c r="I4" s="254"/>
      <c r="J4" s="254"/>
    </row>
    <row r="5" ht="15.75" thickBot="1"/>
    <row r="6" spans="2:10" ht="30" customHeight="1" thickBot="1">
      <c r="B6" s="241" t="s">
        <v>1</v>
      </c>
      <c r="C6" s="243" t="s">
        <v>101</v>
      </c>
      <c r="D6" s="244"/>
      <c r="E6" s="245"/>
      <c r="F6" s="266"/>
      <c r="G6" s="241" t="s">
        <v>45</v>
      </c>
      <c r="H6" s="243" t="s">
        <v>101</v>
      </c>
      <c r="I6" s="244"/>
      <c r="J6" s="245"/>
    </row>
    <row r="7" spans="2:10" ht="15.75" customHeight="1" thickBot="1">
      <c r="B7" s="265"/>
      <c r="C7" s="147" t="s">
        <v>2</v>
      </c>
      <c r="D7" s="172" t="s">
        <v>3</v>
      </c>
      <c r="E7" s="148" t="s">
        <v>4</v>
      </c>
      <c r="F7" s="266"/>
      <c r="G7" s="242"/>
      <c r="H7" s="146" t="s">
        <v>2</v>
      </c>
      <c r="I7" s="147" t="s">
        <v>3</v>
      </c>
      <c r="J7" s="148" t="s">
        <v>4</v>
      </c>
    </row>
    <row r="8" spans="2:11" ht="15">
      <c r="B8" s="149" t="s">
        <v>32</v>
      </c>
      <c r="C8" s="174">
        <f>+C29+C50</f>
        <v>199</v>
      </c>
      <c r="D8" s="174">
        <f>+D29+D50</f>
        <v>188</v>
      </c>
      <c r="E8" s="3">
        <f>SUM(C8:D8)</f>
        <v>387</v>
      </c>
      <c r="F8" s="90"/>
      <c r="G8" s="154" t="s">
        <v>6</v>
      </c>
      <c r="H8" s="4">
        <f>SUM(C8:C9)</f>
        <v>476</v>
      </c>
      <c r="I8" s="18">
        <f>SUM(D8:D9)</f>
        <v>458</v>
      </c>
      <c r="J8" s="18">
        <f>SUM(H8:I8)</f>
        <v>934</v>
      </c>
      <c r="K8" s="90"/>
    </row>
    <row r="9" spans="2:11" ht="15">
      <c r="B9" s="150" t="s">
        <v>7</v>
      </c>
      <c r="C9" s="174">
        <f>+C30+C51</f>
        <v>277</v>
      </c>
      <c r="D9" s="174">
        <f>+D30+D51</f>
        <v>270</v>
      </c>
      <c r="E9" s="3">
        <f aca="true" t="shared" si="0" ref="E8:E24">SUM(C9:D9)</f>
        <v>547</v>
      </c>
      <c r="F9" s="90"/>
      <c r="G9" s="155" t="s">
        <v>8</v>
      </c>
      <c r="H9" s="4">
        <f>SUM(C10:C11)</f>
        <v>657</v>
      </c>
      <c r="I9" s="3">
        <f>SUM(D10:D11)</f>
        <v>617</v>
      </c>
      <c r="J9" s="3">
        <f>SUM(H9:I9)</f>
        <v>1274</v>
      </c>
      <c r="K9" s="90"/>
    </row>
    <row r="10" spans="2:11" ht="15">
      <c r="B10" s="149" t="s">
        <v>60</v>
      </c>
      <c r="C10" s="174">
        <f>+C31+C52</f>
        <v>320</v>
      </c>
      <c r="D10" s="174">
        <f>+D31+D52</f>
        <v>303</v>
      </c>
      <c r="E10" s="3">
        <f t="shared" si="0"/>
        <v>623</v>
      </c>
      <c r="F10" s="90"/>
      <c r="G10" s="155" t="s">
        <v>10</v>
      </c>
      <c r="H10" s="4">
        <f>SUM(C12:C20)</f>
        <v>2811</v>
      </c>
      <c r="I10" s="3">
        <f>SUM(D12:D20)</f>
        <v>2300</v>
      </c>
      <c r="J10" s="3">
        <f>SUM(H10:I10)</f>
        <v>5111</v>
      </c>
      <c r="K10" s="90"/>
    </row>
    <row r="11" spans="2:11" ht="15.75" thickBot="1">
      <c r="B11" s="149" t="s">
        <v>11</v>
      </c>
      <c r="C11" s="174">
        <f>+C32+C53</f>
        <v>337</v>
      </c>
      <c r="D11" s="174">
        <f>+D32+D53</f>
        <v>314</v>
      </c>
      <c r="E11" s="3">
        <f t="shared" si="0"/>
        <v>651</v>
      </c>
      <c r="F11" s="90"/>
      <c r="G11" s="155" t="s">
        <v>12</v>
      </c>
      <c r="H11" s="4">
        <f>SUM(C21:C24)</f>
        <v>664</v>
      </c>
      <c r="I11" s="3">
        <f>SUM(D21:D24)</f>
        <v>524</v>
      </c>
      <c r="J11" s="3">
        <f>SUM(H11:I11)</f>
        <v>1188</v>
      </c>
      <c r="K11" s="90"/>
    </row>
    <row r="12" spans="2:11" s="69" customFormat="1" ht="15.75" thickBot="1">
      <c r="B12" s="149" t="s">
        <v>13</v>
      </c>
      <c r="C12" s="174">
        <f>+C33+C54</f>
        <v>306</v>
      </c>
      <c r="D12" s="174">
        <f>+D33+D54</f>
        <v>259</v>
      </c>
      <c r="E12" s="3">
        <f t="shared" si="0"/>
        <v>565</v>
      </c>
      <c r="F12" s="90"/>
      <c r="G12" s="156" t="s">
        <v>14</v>
      </c>
      <c r="H12" s="157">
        <f>SUM(H8:H11)</f>
        <v>4608</v>
      </c>
      <c r="I12" s="152">
        <f>SUM(I8:I11)</f>
        <v>3899</v>
      </c>
      <c r="J12" s="152">
        <f>SUM(J8:J11)</f>
        <v>8507</v>
      </c>
      <c r="K12" s="90"/>
    </row>
    <row r="13" spans="2:11" s="69" customFormat="1" ht="15.75" thickBot="1">
      <c r="B13" s="149" t="s">
        <v>15</v>
      </c>
      <c r="C13" s="174">
        <f>+C34+C55</f>
        <v>311</v>
      </c>
      <c r="D13" s="174">
        <f>+D34+D55</f>
        <v>253</v>
      </c>
      <c r="E13" s="3">
        <f t="shared" si="0"/>
        <v>564</v>
      </c>
      <c r="F13" s="90"/>
      <c r="K13" s="90"/>
    </row>
    <row r="14" spans="2:15" s="69" customFormat="1" ht="15">
      <c r="B14" s="149" t="s">
        <v>16</v>
      </c>
      <c r="C14" s="174">
        <f>+C35+C56</f>
        <v>300</v>
      </c>
      <c r="D14" s="174">
        <f>+D35+D56</f>
        <v>247</v>
      </c>
      <c r="E14" s="3">
        <f t="shared" si="0"/>
        <v>547</v>
      </c>
      <c r="F14" s="90"/>
      <c r="G14" s="200" t="s">
        <v>61</v>
      </c>
      <c r="H14" s="158">
        <f>SUM(C12:C16)</f>
        <v>1620</v>
      </c>
      <c r="I14" s="213"/>
      <c r="J14" s="90"/>
      <c r="K14" s="90"/>
      <c r="L14" s="13"/>
      <c r="M14" s="13"/>
      <c r="N14" s="13"/>
      <c r="O14" s="13"/>
    </row>
    <row r="15" spans="2:11" s="69" customFormat="1" ht="15">
      <c r="B15" s="149" t="s">
        <v>17</v>
      </c>
      <c r="C15" s="174">
        <f>+C36+C57</f>
        <v>352</v>
      </c>
      <c r="D15" s="174">
        <f>+D36+D57</f>
        <v>323</v>
      </c>
      <c r="E15" s="3">
        <f t="shared" si="0"/>
        <v>675</v>
      </c>
      <c r="F15" s="90"/>
      <c r="G15" s="202" t="s">
        <v>62</v>
      </c>
      <c r="H15" s="199">
        <f>SUM(D17:D20)</f>
        <v>958</v>
      </c>
      <c r="I15" s="213"/>
      <c r="J15" s="90"/>
      <c r="K15" s="90"/>
    </row>
    <row r="16" spans="2:11" s="69" customFormat="1" ht="15">
      <c r="B16" s="149" t="s">
        <v>18</v>
      </c>
      <c r="C16" s="174">
        <f>+C37+C58</f>
        <v>351</v>
      </c>
      <c r="D16" s="174">
        <f>+D37+D58</f>
        <v>260</v>
      </c>
      <c r="E16" s="3">
        <f t="shared" si="0"/>
        <v>611</v>
      </c>
      <c r="F16" s="90"/>
      <c r="G16" s="214" t="s">
        <v>65</v>
      </c>
      <c r="H16" s="215">
        <f>SUM(E8:E11)</f>
        <v>2208</v>
      </c>
      <c r="I16" s="213"/>
      <c r="J16" s="90"/>
      <c r="K16" s="90"/>
    </row>
    <row r="17" spans="2:11" s="69" customFormat="1" ht="15">
      <c r="B17" s="149" t="s">
        <v>19</v>
      </c>
      <c r="C17" s="174">
        <f>+C38+C59</f>
        <v>331</v>
      </c>
      <c r="D17" s="174">
        <f>+D38+D59</f>
        <v>274</v>
      </c>
      <c r="E17" s="3">
        <f t="shared" si="0"/>
        <v>605</v>
      </c>
      <c r="F17" s="90"/>
      <c r="G17" s="202" t="s">
        <v>59</v>
      </c>
      <c r="H17" s="199">
        <f>SUM(E21:E24)</f>
        <v>1188</v>
      </c>
      <c r="I17" s="213"/>
      <c r="J17" s="90"/>
      <c r="K17" s="90"/>
    </row>
    <row r="18" spans="2:11" s="69" customFormat="1" ht="15">
      <c r="B18" s="149" t="s">
        <v>20</v>
      </c>
      <c r="C18" s="174">
        <f>+C39+C60</f>
        <v>345</v>
      </c>
      <c r="D18" s="174">
        <f>+D39+D60</f>
        <v>283</v>
      </c>
      <c r="E18" s="3">
        <f t="shared" si="0"/>
        <v>628</v>
      </c>
      <c r="F18" s="90"/>
      <c r="G18" s="214" t="s">
        <v>57</v>
      </c>
      <c r="H18" s="199">
        <f>+H39+H60</f>
        <v>110</v>
      </c>
      <c r="I18" s="213"/>
      <c r="J18" s="90"/>
      <c r="K18" s="90"/>
    </row>
    <row r="19" spans="2:11" s="69" customFormat="1" ht="15">
      <c r="B19" s="149" t="s">
        <v>21</v>
      </c>
      <c r="C19" s="174">
        <f>+C40+C61</f>
        <v>291</v>
      </c>
      <c r="D19" s="174">
        <f>+D40+D61</f>
        <v>204</v>
      </c>
      <c r="E19" s="3">
        <f t="shared" si="0"/>
        <v>495</v>
      </c>
      <c r="F19" s="90"/>
      <c r="G19" s="202" t="s">
        <v>58</v>
      </c>
      <c r="H19" s="199">
        <f>+H40+H61</f>
        <v>122</v>
      </c>
      <c r="I19" s="213"/>
      <c r="J19" s="90"/>
      <c r="K19" s="90"/>
    </row>
    <row r="20" spans="2:11" s="69" customFormat="1" ht="15.75" thickBot="1">
      <c r="B20" s="149" t="s">
        <v>22</v>
      </c>
      <c r="C20" s="174">
        <f>+C41+C62</f>
        <v>224</v>
      </c>
      <c r="D20" s="174">
        <f>+D41+D62</f>
        <v>197</v>
      </c>
      <c r="E20" s="3">
        <f t="shared" si="0"/>
        <v>421</v>
      </c>
      <c r="F20" s="90"/>
      <c r="G20" s="201" t="s">
        <v>64</v>
      </c>
      <c r="H20" s="199">
        <f>+H41+H62</f>
        <v>84</v>
      </c>
      <c r="I20" s="213"/>
      <c r="J20" s="90"/>
      <c r="K20" s="90"/>
    </row>
    <row r="21" spans="2:11" ht="15">
      <c r="B21" s="149" t="s">
        <v>23</v>
      </c>
      <c r="C21" s="174">
        <f>+C42+C63</f>
        <v>223</v>
      </c>
      <c r="D21" s="174">
        <f>+D42+D63</f>
        <v>180</v>
      </c>
      <c r="E21" s="3">
        <f t="shared" si="0"/>
        <v>403</v>
      </c>
      <c r="F21" s="90"/>
      <c r="G21" s="200" t="s">
        <v>104</v>
      </c>
      <c r="H21" s="158">
        <f>+H42+H63</f>
        <v>85</v>
      </c>
      <c r="J21" s="90"/>
      <c r="K21" s="90"/>
    </row>
    <row r="22" spans="2:11" ht="15.75" thickBot="1">
      <c r="B22" s="149" t="s">
        <v>24</v>
      </c>
      <c r="C22" s="174">
        <f>+C43+C64</f>
        <v>149</v>
      </c>
      <c r="D22" s="174">
        <f>+D43+D64</f>
        <v>130</v>
      </c>
      <c r="E22" s="3">
        <f t="shared" si="0"/>
        <v>279</v>
      </c>
      <c r="F22" s="90"/>
      <c r="G22" s="268" t="s">
        <v>105</v>
      </c>
      <c r="H22" s="198">
        <f>+H43+H64</f>
        <v>101</v>
      </c>
      <c r="J22" s="90"/>
      <c r="K22" s="90"/>
    </row>
    <row r="23" spans="2:15" ht="15">
      <c r="B23" s="149" t="s">
        <v>25</v>
      </c>
      <c r="C23" s="174">
        <f>+C44+C65</f>
        <v>136</v>
      </c>
      <c r="D23" s="174">
        <f>+D44+D65</f>
        <v>95</v>
      </c>
      <c r="E23" s="3">
        <f t="shared" si="0"/>
        <v>231</v>
      </c>
      <c r="F23" s="90"/>
      <c r="J23" s="90"/>
      <c r="K23" s="90"/>
      <c r="L23" s="70"/>
      <c r="M23" s="69"/>
      <c r="N23" s="69"/>
      <c r="O23" s="69"/>
    </row>
    <row r="24" spans="2:11" ht="15" customHeight="1" thickBot="1">
      <c r="B24" s="149" t="s">
        <v>26</v>
      </c>
      <c r="C24" s="174">
        <f>+C45+C66</f>
        <v>156</v>
      </c>
      <c r="D24" s="174">
        <f>+D45+D66</f>
        <v>119</v>
      </c>
      <c r="E24" s="3">
        <f t="shared" si="0"/>
        <v>275</v>
      </c>
      <c r="F24" s="90"/>
      <c r="G24" s="267" t="s">
        <v>77</v>
      </c>
      <c r="H24" s="267"/>
      <c r="I24" s="267"/>
      <c r="J24" s="267"/>
      <c r="K24" s="90"/>
    </row>
    <row r="25" spans="2:11" ht="15.75" thickBot="1">
      <c r="B25" s="151" t="s">
        <v>14</v>
      </c>
      <c r="C25" s="152">
        <f>SUM(C8:C24)</f>
        <v>4608</v>
      </c>
      <c r="D25" s="153">
        <f>SUM(D8:D24)</f>
        <v>3899</v>
      </c>
      <c r="E25" s="152">
        <f>SUM(E8:E24)</f>
        <v>8507</v>
      </c>
      <c r="F25" s="90"/>
      <c r="G25" s="267"/>
      <c r="H25" s="267"/>
      <c r="I25" s="267"/>
      <c r="J25" s="267"/>
      <c r="K25" s="90"/>
    </row>
    <row r="26" ht="15.75" thickBot="1">
      <c r="J26" s="72"/>
    </row>
    <row r="27" spans="2:10" ht="28.5" customHeight="1" thickBot="1">
      <c r="B27" s="241" t="s">
        <v>1</v>
      </c>
      <c r="C27" s="243" t="s">
        <v>102</v>
      </c>
      <c r="D27" s="244"/>
      <c r="E27" s="245"/>
      <c r="F27" s="266"/>
      <c r="G27" s="241" t="s">
        <v>45</v>
      </c>
      <c r="H27" s="243" t="s">
        <v>102</v>
      </c>
      <c r="I27" s="244"/>
      <c r="J27" s="245"/>
    </row>
    <row r="28" spans="2:10" ht="15.75" thickBot="1">
      <c r="B28" s="265"/>
      <c r="C28" s="147" t="s">
        <v>2</v>
      </c>
      <c r="D28" s="238" t="s">
        <v>3</v>
      </c>
      <c r="E28" s="238" t="s">
        <v>4</v>
      </c>
      <c r="F28" s="266"/>
      <c r="G28" s="242"/>
      <c r="H28" s="146" t="s">
        <v>2</v>
      </c>
      <c r="I28" s="147" t="s">
        <v>3</v>
      </c>
      <c r="J28" s="238" t="s">
        <v>4</v>
      </c>
    </row>
    <row r="29" spans="2:10" ht="15">
      <c r="B29" s="149" t="s">
        <v>32</v>
      </c>
      <c r="C29" s="174">
        <f>80+1</f>
        <v>81</v>
      </c>
      <c r="D29" s="173">
        <f>60+1</f>
        <v>61</v>
      </c>
      <c r="E29" s="3">
        <f aca="true" t="shared" si="1" ref="E29:E45">SUM(C29:D29)</f>
        <v>142</v>
      </c>
      <c r="F29" s="90"/>
      <c r="G29" s="154" t="s">
        <v>6</v>
      </c>
      <c r="H29" s="4">
        <f>SUM(C29:C30)</f>
        <v>190</v>
      </c>
      <c r="I29" s="18">
        <f>SUM(D29:D30)</f>
        <v>175</v>
      </c>
      <c r="J29" s="18">
        <f>SUM(H29:I29)</f>
        <v>365</v>
      </c>
    </row>
    <row r="30" spans="2:10" ht="15">
      <c r="B30" s="150" t="s">
        <v>7</v>
      </c>
      <c r="C30" s="174">
        <v>109</v>
      </c>
      <c r="D30" s="173">
        <v>114</v>
      </c>
      <c r="E30" s="3">
        <f t="shared" si="1"/>
        <v>223</v>
      </c>
      <c r="F30" s="90"/>
      <c r="G30" s="155" t="s">
        <v>8</v>
      </c>
      <c r="H30" s="4">
        <f>SUM(C31:C32)</f>
        <v>282</v>
      </c>
      <c r="I30" s="3">
        <f>SUM(D31:D32)</f>
        <v>262</v>
      </c>
      <c r="J30" s="3">
        <f>SUM(H30:I30)</f>
        <v>544</v>
      </c>
    </row>
    <row r="31" spans="2:10" ht="15">
      <c r="B31" s="149" t="s">
        <v>60</v>
      </c>
      <c r="C31" s="174">
        <v>127</v>
      </c>
      <c r="D31" s="173">
        <v>129</v>
      </c>
      <c r="E31" s="3">
        <f t="shared" si="1"/>
        <v>256</v>
      </c>
      <c r="F31" s="90"/>
      <c r="G31" s="155" t="s">
        <v>10</v>
      </c>
      <c r="H31" s="4">
        <f>SUM(C33:C41)</f>
        <v>1213</v>
      </c>
      <c r="I31" s="3">
        <f>SUM(D33:D41)</f>
        <v>993</v>
      </c>
      <c r="J31" s="3">
        <f>SUM(H31:I31)</f>
        <v>2206</v>
      </c>
    </row>
    <row r="32" spans="2:10" ht="15.75" thickBot="1">
      <c r="B32" s="149" t="s">
        <v>11</v>
      </c>
      <c r="C32" s="174">
        <v>155</v>
      </c>
      <c r="D32" s="173">
        <v>133</v>
      </c>
      <c r="E32" s="3">
        <f t="shared" si="1"/>
        <v>288</v>
      </c>
      <c r="F32" s="90"/>
      <c r="G32" s="155" t="s">
        <v>12</v>
      </c>
      <c r="H32" s="4">
        <f>SUM(C42:C45)</f>
        <v>286</v>
      </c>
      <c r="I32" s="3">
        <f>SUM(D42:D45)</f>
        <v>230</v>
      </c>
      <c r="J32" s="3">
        <f>SUM(H32:I32)</f>
        <v>516</v>
      </c>
    </row>
    <row r="33" spans="2:10" ht="15.75" thickBot="1">
      <c r="B33" s="149" t="s">
        <v>13</v>
      </c>
      <c r="C33" s="174">
        <v>136</v>
      </c>
      <c r="D33" s="173">
        <v>113</v>
      </c>
      <c r="E33" s="3">
        <f t="shared" si="1"/>
        <v>249</v>
      </c>
      <c r="F33" s="90"/>
      <c r="G33" s="156" t="s">
        <v>14</v>
      </c>
      <c r="H33" s="157">
        <f>SUM(H29:H32)</f>
        <v>1971</v>
      </c>
      <c r="I33" s="152">
        <f>SUM(I29:I32)</f>
        <v>1660</v>
      </c>
      <c r="J33" s="152">
        <f>SUM(J29:J32)</f>
        <v>3631</v>
      </c>
    </row>
    <row r="34" spans="2:10" ht="15.75" thickBot="1">
      <c r="B34" s="149" t="s">
        <v>15</v>
      </c>
      <c r="C34" s="174">
        <v>132</v>
      </c>
      <c r="D34" s="173">
        <v>95</v>
      </c>
      <c r="E34" s="3">
        <f t="shared" si="1"/>
        <v>227</v>
      </c>
      <c r="F34" s="90"/>
      <c r="G34" s="69"/>
      <c r="H34" s="69"/>
      <c r="I34" s="69"/>
      <c r="J34" s="69"/>
    </row>
    <row r="35" spans="2:10" ht="15">
      <c r="B35" s="149" t="s">
        <v>16</v>
      </c>
      <c r="C35" s="174">
        <v>117</v>
      </c>
      <c r="D35" s="173">
        <v>118</v>
      </c>
      <c r="E35" s="3">
        <f t="shared" si="1"/>
        <v>235</v>
      </c>
      <c r="F35" s="90"/>
      <c r="G35" s="200" t="s">
        <v>61</v>
      </c>
      <c r="H35" s="158">
        <f>SUM(C33:C37)</f>
        <v>694</v>
      </c>
      <c r="I35" s="213"/>
      <c r="J35" s="90"/>
    </row>
    <row r="36" spans="2:10" ht="15">
      <c r="B36" s="149" t="s">
        <v>17</v>
      </c>
      <c r="C36" s="174">
        <v>158</v>
      </c>
      <c r="D36" s="173">
        <v>157</v>
      </c>
      <c r="E36" s="3">
        <f t="shared" si="1"/>
        <v>315</v>
      </c>
      <c r="F36" s="90"/>
      <c r="G36" s="202" t="s">
        <v>62</v>
      </c>
      <c r="H36" s="199">
        <f>SUM(D38:D41)</f>
        <v>398</v>
      </c>
      <c r="I36" s="213"/>
      <c r="J36" s="90"/>
    </row>
    <row r="37" spans="2:10" ht="15">
      <c r="B37" s="149" t="s">
        <v>18</v>
      </c>
      <c r="C37" s="174">
        <v>151</v>
      </c>
      <c r="D37" s="173">
        <v>112</v>
      </c>
      <c r="E37" s="3">
        <f t="shared" si="1"/>
        <v>263</v>
      </c>
      <c r="F37" s="90"/>
      <c r="G37" s="214" t="s">
        <v>65</v>
      </c>
      <c r="H37" s="215">
        <f>SUM(E29:E32)</f>
        <v>909</v>
      </c>
      <c r="I37" s="213"/>
      <c r="J37" s="90"/>
    </row>
    <row r="38" spans="2:10" ht="15">
      <c r="B38" s="149" t="s">
        <v>19</v>
      </c>
      <c r="C38" s="174">
        <v>155</v>
      </c>
      <c r="D38" s="173">
        <v>122</v>
      </c>
      <c r="E38" s="3">
        <f t="shared" si="1"/>
        <v>277</v>
      </c>
      <c r="F38" s="90"/>
      <c r="G38" s="202" t="s">
        <v>59</v>
      </c>
      <c r="H38" s="199">
        <f>SUM(E42:E45)</f>
        <v>516</v>
      </c>
      <c r="I38" s="213"/>
      <c r="J38" s="90"/>
    </row>
    <row r="39" spans="2:10" ht="15">
      <c r="B39" s="149" t="s">
        <v>20</v>
      </c>
      <c r="C39" s="174">
        <v>145</v>
      </c>
      <c r="D39" s="173">
        <v>104</v>
      </c>
      <c r="E39" s="3">
        <f t="shared" si="1"/>
        <v>249</v>
      </c>
      <c r="F39" s="90"/>
      <c r="G39" s="214" t="s">
        <v>57</v>
      </c>
      <c r="H39" s="270">
        <f>46</f>
        <v>46</v>
      </c>
      <c r="I39" s="213"/>
      <c r="J39" s="90"/>
    </row>
    <row r="40" spans="2:10" ht="15">
      <c r="B40" s="149" t="s">
        <v>21</v>
      </c>
      <c r="C40" s="174">
        <v>121</v>
      </c>
      <c r="D40" s="173">
        <v>96</v>
      </c>
      <c r="E40" s="3">
        <f t="shared" si="1"/>
        <v>217</v>
      </c>
      <c r="F40" s="90"/>
      <c r="G40" s="202" t="s">
        <v>58</v>
      </c>
      <c r="H40" s="269">
        <f>31+23</f>
        <v>54</v>
      </c>
      <c r="I40" s="213"/>
      <c r="J40" s="90"/>
    </row>
    <row r="41" spans="2:10" ht="15.75" thickBot="1">
      <c r="B41" s="149" t="s">
        <v>22</v>
      </c>
      <c r="C41" s="174">
        <v>98</v>
      </c>
      <c r="D41" s="173">
        <v>76</v>
      </c>
      <c r="E41" s="3">
        <f t="shared" si="1"/>
        <v>174</v>
      </c>
      <c r="F41" s="90"/>
      <c r="G41" s="201" t="s">
        <v>64</v>
      </c>
      <c r="H41" s="271">
        <f>ROUND(E$41/5,0)</f>
        <v>35</v>
      </c>
      <c r="I41" s="213"/>
      <c r="J41" s="90"/>
    </row>
    <row r="42" spans="2:10" ht="15">
      <c r="B42" s="149" t="s">
        <v>23</v>
      </c>
      <c r="C42" s="174">
        <v>92</v>
      </c>
      <c r="D42" s="173">
        <v>75</v>
      </c>
      <c r="E42" s="3">
        <f t="shared" si="1"/>
        <v>167</v>
      </c>
      <c r="F42" s="90"/>
      <c r="G42" s="200" t="s">
        <v>104</v>
      </c>
      <c r="H42" s="158">
        <f>16+14+1</f>
        <v>31</v>
      </c>
      <c r="J42" s="90"/>
    </row>
    <row r="43" spans="2:10" ht="15.75" thickBot="1">
      <c r="B43" s="149" t="s">
        <v>24</v>
      </c>
      <c r="C43" s="174">
        <v>65</v>
      </c>
      <c r="D43" s="173">
        <v>60</v>
      </c>
      <c r="E43" s="3">
        <f t="shared" si="1"/>
        <v>125</v>
      </c>
      <c r="F43" s="90"/>
      <c r="G43" s="268" t="s">
        <v>105</v>
      </c>
      <c r="H43" s="198">
        <f>27+13+1</f>
        <v>41</v>
      </c>
      <c r="J43" s="90"/>
    </row>
    <row r="44" spans="2:10" ht="15">
      <c r="B44" s="149" t="s">
        <v>25</v>
      </c>
      <c r="C44" s="174">
        <v>54</v>
      </c>
      <c r="D44" s="173">
        <v>42</v>
      </c>
      <c r="E44" s="3">
        <f t="shared" si="1"/>
        <v>96</v>
      </c>
      <c r="F44" s="90"/>
      <c r="J44" s="90"/>
    </row>
    <row r="45" spans="2:10" ht="15.75" customHeight="1" thickBot="1">
      <c r="B45" s="149" t="s">
        <v>26</v>
      </c>
      <c r="C45" s="174">
        <v>75</v>
      </c>
      <c r="D45" s="173">
        <v>53</v>
      </c>
      <c r="E45" s="3">
        <f t="shared" si="1"/>
        <v>128</v>
      </c>
      <c r="F45" s="90"/>
      <c r="J45" s="90"/>
    </row>
    <row r="46" spans="2:10" ht="15.75" thickBot="1">
      <c r="B46" s="151" t="s">
        <v>14</v>
      </c>
      <c r="C46" s="152">
        <f>SUM(C29:C45)</f>
        <v>1971</v>
      </c>
      <c r="D46" s="153">
        <f>SUM(D29:D45)</f>
        <v>1660</v>
      </c>
      <c r="E46" s="152">
        <f>SUM(E29:E45)</f>
        <v>3631</v>
      </c>
      <c r="F46" s="90"/>
      <c r="J46" s="90"/>
    </row>
    <row r="47" ht="15.75" thickBot="1">
      <c r="J47" s="72"/>
    </row>
    <row r="48" spans="2:10" ht="28.5" customHeight="1" thickBot="1">
      <c r="B48" s="241" t="s">
        <v>1</v>
      </c>
      <c r="C48" s="243" t="s">
        <v>103</v>
      </c>
      <c r="D48" s="244"/>
      <c r="E48" s="245"/>
      <c r="F48" s="266"/>
      <c r="G48" s="241" t="s">
        <v>45</v>
      </c>
      <c r="H48" s="243" t="s">
        <v>103</v>
      </c>
      <c r="I48" s="244"/>
      <c r="J48" s="245"/>
    </row>
    <row r="49" spans="2:10" ht="15.75" thickBot="1">
      <c r="B49" s="265"/>
      <c r="C49" s="147" t="s">
        <v>2</v>
      </c>
      <c r="D49" s="238" t="s">
        <v>3</v>
      </c>
      <c r="E49" s="238" t="s">
        <v>4</v>
      </c>
      <c r="F49" s="266"/>
      <c r="G49" s="242"/>
      <c r="H49" s="146" t="s">
        <v>2</v>
      </c>
      <c r="I49" s="147" t="s">
        <v>3</v>
      </c>
      <c r="J49" s="238" t="s">
        <v>4</v>
      </c>
    </row>
    <row r="50" spans="2:10" ht="15">
      <c r="B50" s="149" t="s">
        <v>32</v>
      </c>
      <c r="C50" s="174">
        <v>118</v>
      </c>
      <c r="D50" s="173">
        <v>127</v>
      </c>
      <c r="E50" s="3">
        <f aca="true" t="shared" si="2" ref="E50:E66">SUM(C50:D50)</f>
        <v>245</v>
      </c>
      <c r="F50" s="90"/>
      <c r="G50" s="154" t="s">
        <v>6</v>
      </c>
      <c r="H50" s="4">
        <f>SUM(C50:C51)</f>
        <v>286</v>
      </c>
      <c r="I50" s="18">
        <f>SUM(D50:D51)</f>
        <v>283</v>
      </c>
      <c r="J50" s="18">
        <f>SUM(H50:I50)</f>
        <v>569</v>
      </c>
    </row>
    <row r="51" spans="2:10" ht="15">
      <c r="B51" s="150" t="s">
        <v>7</v>
      </c>
      <c r="C51" s="174">
        <v>168</v>
      </c>
      <c r="D51" s="173">
        <v>156</v>
      </c>
      <c r="E51" s="3">
        <f t="shared" si="2"/>
        <v>324</v>
      </c>
      <c r="F51" s="90"/>
      <c r="G51" s="155" t="s">
        <v>8</v>
      </c>
      <c r="H51" s="4">
        <f>SUM(C52:C53)</f>
        <v>375</v>
      </c>
      <c r="I51" s="3">
        <f>SUM(D52:D53)</f>
        <v>355</v>
      </c>
      <c r="J51" s="3">
        <f>SUM(H51:I51)</f>
        <v>730</v>
      </c>
    </row>
    <row r="52" spans="2:10" ht="15">
      <c r="B52" s="149" t="s">
        <v>60</v>
      </c>
      <c r="C52" s="174">
        <v>193</v>
      </c>
      <c r="D52" s="173">
        <v>174</v>
      </c>
      <c r="E52" s="3">
        <f t="shared" si="2"/>
        <v>367</v>
      </c>
      <c r="F52" s="90"/>
      <c r="G52" s="155" t="s">
        <v>10</v>
      </c>
      <c r="H52" s="4">
        <f>SUM(C54:C62)</f>
        <v>1598</v>
      </c>
      <c r="I52" s="3">
        <f>SUM(D54:D62)</f>
        <v>1307</v>
      </c>
      <c r="J52" s="3">
        <f>SUM(H52:I52)</f>
        <v>2905</v>
      </c>
    </row>
    <row r="53" spans="2:10" ht="15.75" thickBot="1">
      <c r="B53" s="149" t="s">
        <v>11</v>
      </c>
      <c r="C53" s="174">
        <v>182</v>
      </c>
      <c r="D53" s="173">
        <v>181</v>
      </c>
      <c r="E53" s="3">
        <f t="shared" si="2"/>
        <v>363</v>
      </c>
      <c r="F53" s="90"/>
      <c r="G53" s="155" t="s">
        <v>12</v>
      </c>
      <c r="H53" s="4">
        <f>SUM(C63:C66)</f>
        <v>378</v>
      </c>
      <c r="I53" s="3">
        <f>SUM(D63:D66)</f>
        <v>294</v>
      </c>
      <c r="J53" s="3">
        <f>SUM(H53:I53)</f>
        <v>672</v>
      </c>
    </row>
    <row r="54" spans="2:10" ht="15.75" thickBot="1">
      <c r="B54" s="149" t="s">
        <v>13</v>
      </c>
      <c r="C54" s="174">
        <v>170</v>
      </c>
      <c r="D54" s="173">
        <v>146</v>
      </c>
      <c r="E54" s="3">
        <f t="shared" si="2"/>
        <v>316</v>
      </c>
      <c r="F54" s="90"/>
      <c r="G54" s="156" t="s">
        <v>14</v>
      </c>
      <c r="H54" s="157">
        <f>SUM(H50:H53)</f>
        <v>2637</v>
      </c>
      <c r="I54" s="152">
        <f>SUM(I50:I53)</f>
        <v>2239</v>
      </c>
      <c r="J54" s="152">
        <f>SUM(J50:J53)</f>
        <v>4876</v>
      </c>
    </row>
    <row r="55" spans="2:10" ht="15.75" thickBot="1">
      <c r="B55" s="149" t="s">
        <v>15</v>
      </c>
      <c r="C55" s="174">
        <v>179</v>
      </c>
      <c r="D55" s="173">
        <v>158</v>
      </c>
      <c r="E55" s="3">
        <f t="shared" si="2"/>
        <v>337</v>
      </c>
      <c r="F55" s="90"/>
      <c r="G55" s="69"/>
      <c r="H55" s="69"/>
      <c r="I55" s="69"/>
      <c r="J55" s="69"/>
    </row>
    <row r="56" spans="2:10" ht="15">
      <c r="B56" s="149" t="s">
        <v>16</v>
      </c>
      <c r="C56" s="174">
        <v>183</v>
      </c>
      <c r="D56" s="173">
        <v>129</v>
      </c>
      <c r="E56" s="3">
        <f t="shared" si="2"/>
        <v>312</v>
      </c>
      <c r="F56" s="90"/>
      <c r="G56" s="200" t="s">
        <v>61</v>
      </c>
      <c r="H56" s="158">
        <f>SUM(C54:C58)</f>
        <v>926</v>
      </c>
      <c r="I56" s="213"/>
      <c r="J56" s="90"/>
    </row>
    <row r="57" spans="2:10" ht="15">
      <c r="B57" s="149" t="s">
        <v>17</v>
      </c>
      <c r="C57" s="174">
        <v>194</v>
      </c>
      <c r="D57" s="173">
        <v>166</v>
      </c>
      <c r="E57" s="3">
        <f t="shared" si="2"/>
        <v>360</v>
      </c>
      <c r="F57" s="90"/>
      <c r="G57" s="202" t="s">
        <v>62</v>
      </c>
      <c r="H57" s="199">
        <f>SUM(D59:D62)</f>
        <v>560</v>
      </c>
      <c r="I57" s="213"/>
      <c r="J57" s="90"/>
    </row>
    <row r="58" spans="2:10" ht="15">
      <c r="B58" s="149" t="s">
        <v>18</v>
      </c>
      <c r="C58" s="174">
        <v>200</v>
      </c>
      <c r="D58" s="173">
        <v>148</v>
      </c>
      <c r="E58" s="3">
        <f t="shared" si="2"/>
        <v>348</v>
      </c>
      <c r="F58" s="90"/>
      <c r="G58" s="214" t="s">
        <v>65</v>
      </c>
      <c r="H58" s="215">
        <f>SUM(E50:E53)</f>
        <v>1299</v>
      </c>
      <c r="I58" s="213"/>
      <c r="J58" s="90"/>
    </row>
    <row r="59" spans="2:10" ht="15">
      <c r="B59" s="149" t="s">
        <v>19</v>
      </c>
      <c r="C59" s="174">
        <v>176</v>
      </c>
      <c r="D59" s="173">
        <v>152</v>
      </c>
      <c r="E59" s="3">
        <f t="shared" si="2"/>
        <v>328</v>
      </c>
      <c r="F59" s="90"/>
      <c r="G59" s="202" t="s">
        <v>59</v>
      </c>
      <c r="H59" s="199">
        <f>SUM(E63:E66)</f>
        <v>672</v>
      </c>
      <c r="I59" s="213"/>
      <c r="J59" s="90"/>
    </row>
    <row r="60" spans="2:10" ht="15">
      <c r="B60" s="149" t="s">
        <v>20</v>
      </c>
      <c r="C60" s="174">
        <v>200</v>
      </c>
      <c r="D60" s="173">
        <v>179</v>
      </c>
      <c r="E60" s="3">
        <f t="shared" si="2"/>
        <v>379</v>
      </c>
      <c r="F60" s="90"/>
      <c r="G60" s="214" t="s">
        <v>57</v>
      </c>
      <c r="H60" s="215">
        <f>39+25</f>
        <v>64</v>
      </c>
      <c r="I60" s="213"/>
      <c r="J60" s="90"/>
    </row>
    <row r="61" spans="2:10" ht="15">
      <c r="B61" s="149" t="s">
        <v>21</v>
      </c>
      <c r="C61" s="174">
        <v>170</v>
      </c>
      <c r="D61" s="173">
        <v>108</v>
      </c>
      <c r="E61" s="3">
        <f t="shared" si="2"/>
        <v>278</v>
      </c>
      <c r="F61" s="90"/>
      <c r="G61" s="202" t="s">
        <v>58</v>
      </c>
      <c r="H61" s="269">
        <f>32+36</f>
        <v>68</v>
      </c>
      <c r="I61" s="213"/>
      <c r="J61" s="90"/>
    </row>
    <row r="62" spans="2:10" ht="15.75" thickBot="1">
      <c r="B62" s="149" t="s">
        <v>22</v>
      </c>
      <c r="C62" s="174">
        <v>126</v>
      </c>
      <c r="D62" s="173">
        <v>121</v>
      </c>
      <c r="E62" s="3">
        <f t="shared" si="2"/>
        <v>247</v>
      </c>
      <c r="F62" s="90"/>
      <c r="G62" s="201" t="s">
        <v>64</v>
      </c>
      <c r="H62" s="159">
        <f>ROUND(E$62/5,0)</f>
        <v>49</v>
      </c>
      <c r="I62" s="213"/>
      <c r="J62" s="90"/>
    </row>
    <row r="63" spans="2:10" ht="15">
      <c r="B63" s="149" t="s">
        <v>23</v>
      </c>
      <c r="C63" s="174">
        <v>131</v>
      </c>
      <c r="D63" s="173">
        <v>105</v>
      </c>
      <c r="E63" s="3">
        <f t="shared" si="2"/>
        <v>236</v>
      </c>
      <c r="F63" s="90"/>
      <c r="G63" s="200" t="s">
        <v>104</v>
      </c>
      <c r="H63" s="158">
        <f>25+29</f>
        <v>54</v>
      </c>
      <c r="J63" s="90"/>
    </row>
    <row r="64" spans="2:10" ht="15.75" thickBot="1">
      <c r="B64" s="149" t="s">
        <v>24</v>
      </c>
      <c r="C64" s="174">
        <v>84</v>
      </c>
      <c r="D64" s="173">
        <v>70</v>
      </c>
      <c r="E64" s="3">
        <f t="shared" si="2"/>
        <v>154</v>
      </c>
      <c r="F64" s="90"/>
      <c r="G64" s="268" t="s">
        <v>105</v>
      </c>
      <c r="H64" s="198">
        <f>34+26</f>
        <v>60</v>
      </c>
      <c r="J64" s="90"/>
    </row>
    <row r="65" spans="2:10" ht="15">
      <c r="B65" s="149" t="s">
        <v>25</v>
      </c>
      <c r="C65" s="174">
        <v>82</v>
      </c>
      <c r="D65" s="173">
        <v>53</v>
      </c>
      <c r="E65" s="3">
        <f t="shared" si="2"/>
        <v>135</v>
      </c>
      <c r="F65" s="90"/>
      <c r="J65" s="90"/>
    </row>
    <row r="66" spans="2:10" ht="15.75" thickBot="1">
      <c r="B66" s="149" t="s">
        <v>26</v>
      </c>
      <c r="C66" s="174">
        <v>81</v>
      </c>
      <c r="D66" s="173">
        <v>66</v>
      </c>
      <c r="E66" s="3">
        <f t="shared" si="2"/>
        <v>147</v>
      </c>
      <c r="F66" s="90"/>
      <c r="J66" s="90"/>
    </row>
    <row r="67" spans="2:10" ht="15.75" thickBot="1">
      <c r="B67" s="151" t="s">
        <v>14</v>
      </c>
      <c r="C67" s="152">
        <f>SUM(C50:C66)</f>
        <v>2637</v>
      </c>
      <c r="D67" s="153">
        <f>SUM(D50:D66)</f>
        <v>2239</v>
      </c>
      <c r="E67" s="152">
        <f>SUM(E50:E66)</f>
        <v>4876</v>
      </c>
      <c r="F67" s="90"/>
      <c r="J67" s="90"/>
    </row>
    <row r="68" ht="15.75" thickBot="1">
      <c r="J68" s="72"/>
    </row>
    <row r="69" spans="2:11" ht="26.25" customHeight="1" thickBot="1">
      <c r="B69" s="258" t="s">
        <v>45</v>
      </c>
      <c r="C69" s="260" t="s">
        <v>100</v>
      </c>
      <c r="D69" s="261"/>
      <c r="E69" s="262"/>
      <c r="F69" s="188"/>
      <c r="G69" s="258" t="s">
        <v>45</v>
      </c>
      <c r="H69" s="260" t="s">
        <v>100</v>
      </c>
      <c r="I69" s="261"/>
      <c r="J69" s="262"/>
      <c r="K69" s="21"/>
    </row>
    <row r="70" spans="2:11" ht="16.5" customHeight="1" thickBot="1">
      <c r="B70" s="259"/>
      <c r="C70" s="221" t="s">
        <v>2</v>
      </c>
      <c r="D70" s="222" t="s">
        <v>3</v>
      </c>
      <c r="E70" s="223" t="s">
        <v>4</v>
      </c>
      <c r="F70" s="188"/>
      <c r="G70" s="259"/>
      <c r="H70" s="221" t="s">
        <v>2</v>
      </c>
      <c r="I70" s="222" t="s">
        <v>3</v>
      </c>
      <c r="J70" s="223" t="s">
        <v>4</v>
      </c>
      <c r="K70" s="21"/>
    </row>
    <row r="71" spans="2:11" ht="15">
      <c r="B71" s="224" t="s">
        <v>32</v>
      </c>
      <c r="C71" s="3">
        <f aca="true" t="shared" si="3" ref="C71:D87">ROUND(C8*62%,0)</f>
        <v>123</v>
      </c>
      <c r="D71" s="20">
        <f>ROUND(D8*62%,0)</f>
        <v>117</v>
      </c>
      <c r="E71" s="18">
        <f>SUM(C71:D71)</f>
        <v>240</v>
      </c>
      <c r="F71" s="28"/>
      <c r="G71" s="229" t="s">
        <v>6</v>
      </c>
      <c r="H71" s="4">
        <f>SUM(C71:C72)</f>
        <v>295</v>
      </c>
      <c r="I71" s="18">
        <f>SUM(D71:D72)</f>
        <v>284</v>
      </c>
      <c r="J71" s="18">
        <f>SUM(E71:E72)</f>
        <v>579</v>
      </c>
      <c r="K71" s="21"/>
    </row>
    <row r="72" spans="2:11" ht="15.75" customHeight="1">
      <c r="B72" s="225" t="s">
        <v>7</v>
      </c>
      <c r="C72" s="3">
        <f t="shared" si="3"/>
        <v>172</v>
      </c>
      <c r="D72" s="20">
        <f t="shared" si="3"/>
        <v>167</v>
      </c>
      <c r="E72" s="3">
        <f aca="true" t="shared" si="4" ref="E71:E87">SUM(C72:D72)</f>
        <v>339</v>
      </c>
      <c r="F72" s="188"/>
      <c r="G72" s="230" t="s">
        <v>8</v>
      </c>
      <c r="H72" s="4">
        <f>SUM(C73:C74)</f>
        <v>407</v>
      </c>
      <c r="I72" s="3">
        <f>SUM(D73:D74)</f>
        <v>383</v>
      </c>
      <c r="J72" s="3">
        <f>SUM(E73:E74)</f>
        <v>790</v>
      </c>
      <c r="K72" s="21"/>
    </row>
    <row r="73" spans="2:11" ht="15">
      <c r="B73" s="224" t="s">
        <v>60</v>
      </c>
      <c r="C73" s="3">
        <f t="shared" si="3"/>
        <v>198</v>
      </c>
      <c r="D73" s="20">
        <f t="shared" si="3"/>
        <v>188</v>
      </c>
      <c r="E73" s="3">
        <f t="shared" si="4"/>
        <v>386</v>
      </c>
      <c r="F73" s="188"/>
      <c r="G73" s="230" t="s">
        <v>10</v>
      </c>
      <c r="H73" s="4">
        <f>SUM(C75:C83)</f>
        <v>1743</v>
      </c>
      <c r="I73" s="3">
        <f>SUM(D75:D83)</f>
        <v>1425</v>
      </c>
      <c r="J73" s="3">
        <f>SUM(E75:E83)</f>
        <v>3168</v>
      </c>
      <c r="K73" s="21"/>
    </row>
    <row r="74" spans="2:11" ht="15.75" thickBot="1">
      <c r="B74" s="224" t="s">
        <v>11</v>
      </c>
      <c r="C74" s="3">
        <f t="shared" si="3"/>
        <v>209</v>
      </c>
      <c r="D74" s="20">
        <f t="shared" si="3"/>
        <v>195</v>
      </c>
      <c r="E74" s="3">
        <f t="shared" si="4"/>
        <v>404</v>
      </c>
      <c r="F74" s="43"/>
      <c r="G74" s="230" t="s">
        <v>12</v>
      </c>
      <c r="H74" s="4">
        <f>SUM(C84:C87)</f>
        <v>411</v>
      </c>
      <c r="I74" s="3">
        <f>SUM(D84:D87)</f>
        <v>326</v>
      </c>
      <c r="J74" s="3">
        <f>SUM(E84:E87)</f>
        <v>737</v>
      </c>
      <c r="K74" s="21"/>
    </row>
    <row r="75" spans="2:11" ht="15.75" thickBot="1">
      <c r="B75" s="224" t="s">
        <v>13</v>
      </c>
      <c r="C75" s="3">
        <f t="shared" si="3"/>
        <v>190</v>
      </c>
      <c r="D75" s="20">
        <f t="shared" si="3"/>
        <v>161</v>
      </c>
      <c r="E75" s="3">
        <f t="shared" si="4"/>
        <v>351</v>
      </c>
      <c r="F75" s="162"/>
      <c r="G75" s="231" t="s">
        <v>14</v>
      </c>
      <c r="H75" s="232">
        <f>SUM(H71:H74)</f>
        <v>2856</v>
      </c>
      <c r="I75" s="227">
        <f>SUM(I71:I74)</f>
        <v>2418</v>
      </c>
      <c r="J75" s="227">
        <f>SUM(J71:J74)</f>
        <v>5274</v>
      </c>
      <c r="K75" s="21"/>
    </row>
    <row r="76" spans="2:11" ht="15.75" thickBot="1">
      <c r="B76" s="224" t="s">
        <v>15</v>
      </c>
      <c r="C76" s="3">
        <f t="shared" si="3"/>
        <v>193</v>
      </c>
      <c r="D76" s="20">
        <f t="shared" si="3"/>
        <v>157</v>
      </c>
      <c r="E76" s="3">
        <f t="shared" si="4"/>
        <v>350</v>
      </c>
      <c r="F76" s="189"/>
      <c r="K76" s="21"/>
    </row>
    <row r="77" spans="2:11" ht="15">
      <c r="B77" s="224" t="s">
        <v>16</v>
      </c>
      <c r="C77" s="3">
        <f t="shared" si="3"/>
        <v>186</v>
      </c>
      <c r="D77" s="20">
        <f t="shared" si="3"/>
        <v>153</v>
      </c>
      <c r="E77" s="3">
        <f t="shared" si="4"/>
        <v>339</v>
      </c>
      <c r="F77" s="38"/>
      <c r="G77" s="233" t="s">
        <v>61</v>
      </c>
      <c r="H77" s="216">
        <f>SUM(C75:C79)</f>
        <v>1005</v>
      </c>
      <c r="I77" s="213"/>
      <c r="J77" s="73"/>
      <c r="K77" s="21"/>
    </row>
    <row r="78" spans="2:11" ht="15">
      <c r="B78" s="224" t="s">
        <v>17</v>
      </c>
      <c r="C78" s="3">
        <f t="shared" si="3"/>
        <v>218</v>
      </c>
      <c r="D78" s="20">
        <f t="shared" si="3"/>
        <v>200</v>
      </c>
      <c r="E78" s="3">
        <f t="shared" si="4"/>
        <v>418</v>
      </c>
      <c r="F78" s="38"/>
      <c r="G78" s="234" t="s">
        <v>62</v>
      </c>
      <c r="H78" s="217">
        <f>SUM(D80:D83)</f>
        <v>593</v>
      </c>
      <c r="I78" s="213"/>
      <c r="J78" s="73"/>
      <c r="K78" s="21"/>
    </row>
    <row r="79" spans="2:11" ht="15">
      <c r="B79" s="224" t="s">
        <v>18</v>
      </c>
      <c r="C79" s="3">
        <f t="shared" si="3"/>
        <v>218</v>
      </c>
      <c r="D79" s="20">
        <f t="shared" si="3"/>
        <v>161</v>
      </c>
      <c r="E79" s="3">
        <f t="shared" si="4"/>
        <v>379</v>
      </c>
      <c r="F79" s="38"/>
      <c r="G79" s="235" t="s">
        <v>65</v>
      </c>
      <c r="H79" s="218">
        <f>SUM(E71:E74)</f>
        <v>1369</v>
      </c>
      <c r="I79" s="213"/>
      <c r="J79" s="73"/>
      <c r="K79" s="21"/>
    </row>
    <row r="80" spans="2:11" ht="15">
      <c r="B80" s="224" t="s">
        <v>19</v>
      </c>
      <c r="C80" s="3">
        <f t="shared" si="3"/>
        <v>205</v>
      </c>
      <c r="D80" s="20">
        <f t="shared" si="3"/>
        <v>170</v>
      </c>
      <c r="E80" s="3">
        <f t="shared" si="4"/>
        <v>375</v>
      </c>
      <c r="F80" s="38"/>
      <c r="G80" s="234" t="s">
        <v>59</v>
      </c>
      <c r="H80" s="217">
        <f>SUM(E84:E87)</f>
        <v>737</v>
      </c>
      <c r="I80" s="213"/>
      <c r="J80" s="73"/>
      <c r="K80" s="21"/>
    </row>
    <row r="81" spans="2:11" ht="15">
      <c r="B81" s="224" t="s">
        <v>20</v>
      </c>
      <c r="C81" s="3">
        <f t="shared" si="3"/>
        <v>214</v>
      </c>
      <c r="D81" s="20">
        <f t="shared" si="3"/>
        <v>175</v>
      </c>
      <c r="E81" s="3">
        <f t="shared" si="4"/>
        <v>389</v>
      </c>
      <c r="F81" s="38"/>
      <c r="G81" s="235" t="s">
        <v>57</v>
      </c>
      <c r="H81" s="218">
        <f>ROUND(H$18*62%,0)</f>
        <v>68</v>
      </c>
      <c r="I81" s="213"/>
      <c r="J81" s="73"/>
      <c r="K81" s="21"/>
    </row>
    <row r="82" spans="2:11" ht="15">
      <c r="B82" s="224" t="s">
        <v>21</v>
      </c>
      <c r="C82" s="3">
        <f t="shared" si="3"/>
        <v>180</v>
      </c>
      <c r="D82" s="20">
        <f t="shared" si="3"/>
        <v>126</v>
      </c>
      <c r="E82" s="3">
        <f t="shared" si="4"/>
        <v>306</v>
      </c>
      <c r="F82" s="38"/>
      <c r="G82" s="234" t="s">
        <v>58</v>
      </c>
      <c r="H82" s="218">
        <f>ROUND(H$19*62%,0)</f>
        <v>76</v>
      </c>
      <c r="I82" s="213"/>
      <c r="J82" s="73"/>
      <c r="K82" s="21"/>
    </row>
    <row r="83" spans="2:11" ht="15.75" thickBot="1">
      <c r="B83" s="224" t="s">
        <v>22</v>
      </c>
      <c r="C83" s="3">
        <f t="shared" si="3"/>
        <v>139</v>
      </c>
      <c r="D83" s="20">
        <f t="shared" si="3"/>
        <v>122</v>
      </c>
      <c r="E83" s="3">
        <f t="shared" si="4"/>
        <v>261</v>
      </c>
      <c r="F83" s="38"/>
      <c r="G83" s="236" t="s">
        <v>64</v>
      </c>
      <c r="H83" s="219">
        <f>ROUND(H$20*62%,0)</f>
        <v>52</v>
      </c>
      <c r="I83" s="213"/>
      <c r="J83" s="73"/>
      <c r="K83" s="21"/>
    </row>
    <row r="84" spans="2:11" ht="15">
      <c r="B84" s="224" t="s">
        <v>23</v>
      </c>
      <c r="C84" s="3">
        <f t="shared" si="3"/>
        <v>138</v>
      </c>
      <c r="D84" s="20">
        <f t="shared" si="3"/>
        <v>112</v>
      </c>
      <c r="E84" s="3">
        <f t="shared" si="4"/>
        <v>250</v>
      </c>
      <c r="F84" s="38"/>
      <c r="G84" s="200" t="s">
        <v>104</v>
      </c>
      <c r="H84" s="216">
        <f>ROUND(H$21*62%,0)</f>
        <v>53</v>
      </c>
      <c r="I84" s="73"/>
      <c r="J84" s="73"/>
      <c r="K84" s="21"/>
    </row>
    <row r="85" spans="2:11" ht="15.75" thickBot="1">
      <c r="B85" s="224" t="s">
        <v>24</v>
      </c>
      <c r="C85" s="3">
        <f t="shared" si="3"/>
        <v>92</v>
      </c>
      <c r="D85" s="20">
        <f t="shared" si="3"/>
        <v>81</v>
      </c>
      <c r="E85" s="3">
        <f t="shared" si="4"/>
        <v>173</v>
      </c>
      <c r="F85" s="38"/>
      <c r="G85" s="268" t="s">
        <v>105</v>
      </c>
      <c r="H85" s="219">
        <f>ROUND(H$22*62%,0)</f>
        <v>63</v>
      </c>
      <c r="I85" s="73"/>
      <c r="J85" s="73"/>
      <c r="K85" s="21"/>
    </row>
    <row r="86" spans="2:11" ht="15">
      <c r="B86" s="224" t="s">
        <v>25</v>
      </c>
      <c r="C86" s="3">
        <f t="shared" si="3"/>
        <v>84</v>
      </c>
      <c r="D86" s="20">
        <f t="shared" si="3"/>
        <v>59</v>
      </c>
      <c r="E86" s="3">
        <f t="shared" si="4"/>
        <v>143</v>
      </c>
      <c r="F86" s="38"/>
      <c r="G86" s="73"/>
      <c r="H86" s="73"/>
      <c r="I86" s="73"/>
      <c r="J86" s="73"/>
      <c r="K86" s="21"/>
    </row>
    <row r="87" spans="2:11" ht="15.75" thickBot="1">
      <c r="B87" s="224" t="s">
        <v>26</v>
      </c>
      <c r="C87" s="3">
        <f t="shared" si="3"/>
        <v>97</v>
      </c>
      <c r="D87" s="20">
        <f t="shared" si="3"/>
        <v>74</v>
      </c>
      <c r="E87" s="3">
        <f t="shared" si="4"/>
        <v>171</v>
      </c>
      <c r="F87" s="38"/>
      <c r="G87" s="73"/>
      <c r="H87" s="73"/>
      <c r="I87" s="73"/>
      <c r="J87" s="73"/>
      <c r="K87" s="21"/>
    </row>
    <row r="88" spans="2:11" ht="15.75" thickBot="1">
      <c r="B88" s="237" t="s">
        <v>14</v>
      </c>
      <c r="C88" s="227">
        <f>SUM(C71:C87)</f>
        <v>2856</v>
      </c>
      <c r="D88" s="228">
        <f>SUM(D71:D87)</f>
        <v>2418</v>
      </c>
      <c r="E88" s="227">
        <f>SUM(E71:E87)</f>
        <v>5274</v>
      </c>
      <c r="F88" s="239">
        <v>0.62</v>
      </c>
      <c r="G88" s="73"/>
      <c r="H88" s="73"/>
      <c r="I88" s="73"/>
      <c r="J88" s="73"/>
      <c r="K88" s="21"/>
    </row>
    <row r="89" spans="2:11" ht="15.75" thickBot="1">
      <c r="B89" s="63"/>
      <c r="D89" s="71"/>
      <c r="F89" s="38"/>
      <c r="G89" s="73"/>
      <c r="H89" s="73"/>
      <c r="I89" s="73"/>
      <c r="J89" s="73"/>
      <c r="K89" s="21"/>
    </row>
    <row r="90" spans="2:11" ht="26.25" customHeight="1" thickBot="1">
      <c r="B90" s="258" t="s">
        <v>45</v>
      </c>
      <c r="C90" s="260" t="s">
        <v>99</v>
      </c>
      <c r="D90" s="261"/>
      <c r="E90" s="262"/>
      <c r="F90" s="38"/>
      <c r="G90" s="258" t="s">
        <v>45</v>
      </c>
      <c r="H90" s="260" t="s">
        <v>99</v>
      </c>
      <c r="I90" s="261"/>
      <c r="J90" s="262"/>
      <c r="K90" s="21"/>
    </row>
    <row r="91" spans="2:22" ht="18.75" thickBot="1">
      <c r="B91" s="259"/>
      <c r="C91" s="221" t="s">
        <v>2</v>
      </c>
      <c r="D91" s="222" t="s">
        <v>3</v>
      </c>
      <c r="E91" s="223" t="s">
        <v>4</v>
      </c>
      <c r="F91" s="62"/>
      <c r="G91" s="259"/>
      <c r="H91" s="221" t="s">
        <v>2</v>
      </c>
      <c r="I91" s="222" t="s">
        <v>3</v>
      </c>
      <c r="J91" s="223" t="s">
        <v>4</v>
      </c>
      <c r="K91" s="21"/>
      <c r="L91" s="74"/>
      <c r="M91" s="75"/>
      <c r="N91" s="75"/>
      <c r="O91" s="75"/>
      <c r="P91" s="75"/>
      <c r="Q91" s="75"/>
      <c r="R91" s="75"/>
      <c r="S91" s="76"/>
      <c r="T91" s="76"/>
      <c r="U91" s="76"/>
      <c r="V91" s="77"/>
    </row>
    <row r="92" spans="2:22" ht="18">
      <c r="B92" s="224" t="s">
        <v>32</v>
      </c>
      <c r="C92" s="3">
        <f aca="true" t="shared" si="5" ref="C92:D108">ROUND(C8*38%,0)</f>
        <v>76</v>
      </c>
      <c r="D92" s="20">
        <f t="shared" si="5"/>
        <v>71</v>
      </c>
      <c r="E92" s="18">
        <f aca="true" t="shared" si="6" ref="E92:E108">SUM(C92:D92)</f>
        <v>147</v>
      </c>
      <c r="F92" s="67"/>
      <c r="G92" s="229" t="s">
        <v>6</v>
      </c>
      <c r="H92" s="4">
        <f>SUM(C92:C93)</f>
        <v>181</v>
      </c>
      <c r="I92" s="18">
        <f>SUM(D92:D93)</f>
        <v>174</v>
      </c>
      <c r="J92" s="18">
        <f>SUM(E92:E93)</f>
        <v>355</v>
      </c>
      <c r="K92" s="21"/>
      <c r="L92" s="78"/>
      <c r="M92" s="75"/>
      <c r="N92" s="75"/>
      <c r="O92" s="75"/>
      <c r="P92" s="75"/>
      <c r="Q92" s="75"/>
      <c r="R92" s="75"/>
      <c r="S92" s="76"/>
      <c r="T92" s="76"/>
      <c r="U92" s="76"/>
      <c r="V92" s="77"/>
    </row>
    <row r="93" spans="2:22" ht="18">
      <c r="B93" s="225" t="s">
        <v>7</v>
      </c>
      <c r="C93" s="3">
        <f t="shared" si="5"/>
        <v>105</v>
      </c>
      <c r="D93" s="20">
        <f t="shared" si="5"/>
        <v>103</v>
      </c>
      <c r="E93" s="3">
        <f t="shared" si="6"/>
        <v>208</v>
      </c>
      <c r="F93" s="62"/>
      <c r="G93" s="230" t="s">
        <v>8</v>
      </c>
      <c r="H93" s="4">
        <f>SUM(C94:C95)</f>
        <v>250</v>
      </c>
      <c r="I93" s="3">
        <f>SUM(D94:D95)</f>
        <v>234</v>
      </c>
      <c r="J93" s="3">
        <f>SUM(E94:E95)</f>
        <v>484</v>
      </c>
      <c r="K93" s="21"/>
      <c r="L93" s="79"/>
      <c r="M93" s="75"/>
      <c r="N93" s="75"/>
      <c r="O93" s="75"/>
      <c r="P93" s="75"/>
      <c r="Q93" s="75"/>
      <c r="R93" s="75"/>
      <c r="S93" s="76"/>
      <c r="T93" s="76"/>
      <c r="U93" s="76"/>
      <c r="V93" s="77"/>
    </row>
    <row r="94" spans="2:22" ht="18">
      <c r="B94" s="224" t="s">
        <v>60</v>
      </c>
      <c r="C94" s="3">
        <f t="shared" si="5"/>
        <v>122</v>
      </c>
      <c r="D94" s="20">
        <f t="shared" si="5"/>
        <v>115</v>
      </c>
      <c r="E94" s="3">
        <f t="shared" si="6"/>
        <v>237</v>
      </c>
      <c r="F94" s="80"/>
      <c r="G94" s="230" t="s">
        <v>10</v>
      </c>
      <c r="H94" s="4">
        <f>SUM(C96:C104)</f>
        <v>1068</v>
      </c>
      <c r="I94" s="3">
        <f>SUM(D96:D104)</f>
        <v>875</v>
      </c>
      <c r="J94" s="3">
        <f>SUM(E96:E104)</f>
        <v>1943</v>
      </c>
      <c r="K94" s="21"/>
      <c r="L94" s="74"/>
      <c r="M94" s="75"/>
      <c r="N94" s="75"/>
      <c r="O94" s="75"/>
      <c r="P94" s="75"/>
      <c r="Q94" s="75"/>
      <c r="R94" s="75"/>
      <c r="S94" s="76"/>
      <c r="T94" s="76"/>
      <c r="U94" s="76"/>
      <c r="V94" s="77"/>
    </row>
    <row r="95" spans="2:22" ht="18.75" thickBot="1">
      <c r="B95" s="224" t="s">
        <v>11</v>
      </c>
      <c r="C95" s="3">
        <f t="shared" si="5"/>
        <v>128</v>
      </c>
      <c r="D95" s="20">
        <f t="shared" si="5"/>
        <v>119</v>
      </c>
      <c r="E95" s="3">
        <f t="shared" si="6"/>
        <v>247</v>
      </c>
      <c r="F95" s="80"/>
      <c r="G95" s="230" t="s">
        <v>12</v>
      </c>
      <c r="H95" s="4">
        <f>SUM(C105:C108)</f>
        <v>253</v>
      </c>
      <c r="I95" s="3">
        <f>SUM(D105:D108)</f>
        <v>198</v>
      </c>
      <c r="J95" s="3">
        <f>SUM(E105:E108)</f>
        <v>451</v>
      </c>
      <c r="K95" s="21"/>
      <c r="L95" s="74"/>
      <c r="M95" s="75"/>
      <c r="N95" s="75"/>
      <c r="O95" s="75"/>
      <c r="P95" s="75"/>
      <c r="Q95" s="75"/>
      <c r="R95" s="75"/>
      <c r="S95" s="76"/>
      <c r="T95" s="76"/>
      <c r="U95" s="76"/>
      <c r="V95" s="77"/>
    </row>
    <row r="96" spans="2:22" ht="18.75" thickBot="1">
      <c r="B96" s="224" t="s">
        <v>13</v>
      </c>
      <c r="C96" s="3">
        <f t="shared" si="5"/>
        <v>116</v>
      </c>
      <c r="D96" s="20">
        <f t="shared" si="5"/>
        <v>98</v>
      </c>
      <c r="E96" s="3">
        <f t="shared" si="6"/>
        <v>214</v>
      </c>
      <c r="F96" s="80"/>
      <c r="G96" s="231" t="s">
        <v>14</v>
      </c>
      <c r="H96" s="232">
        <f>SUM(H92:H95)</f>
        <v>1752</v>
      </c>
      <c r="I96" s="227">
        <f>SUM(I92:I95)</f>
        <v>1481</v>
      </c>
      <c r="J96" s="227">
        <f>SUM(J92:J95)</f>
        <v>3233</v>
      </c>
      <c r="K96" s="21"/>
      <c r="L96" s="74"/>
      <c r="M96" s="75"/>
      <c r="N96" s="75"/>
      <c r="O96" s="75"/>
      <c r="P96" s="75"/>
      <c r="Q96" s="75"/>
      <c r="R96" s="75"/>
      <c r="S96" s="76"/>
      <c r="T96" s="76"/>
      <c r="U96" s="76"/>
      <c r="V96" s="77"/>
    </row>
    <row r="97" spans="2:22" ht="18.75" thickBot="1">
      <c r="B97" s="224" t="s">
        <v>15</v>
      </c>
      <c r="C97" s="3">
        <f t="shared" si="5"/>
        <v>118</v>
      </c>
      <c r="D97" s="20">
        <f t="shared" si="5"/>
        <v>96</v>
      </c>
      <c r="E97" s="3">
        <f t="shared" si="6"/>
        <v>214</v>
      </c>
      <c r="F97" s="80"/>
      <c r="K97" s="21"/>
      <c r="L97" s="74"/>
      <c r="M97" s="75"/>
      <c r="N97" s="75"/>
      <c r="O97" s="75"/>
      <c r="P97" s="75"/>
      <c r="Q97" s="75"/>
      <c r="R97" s="75"/>
      <c r="S97" s="76"/>
      <c r="T97" s="76"/>
      <c r="U97" s="76"/>
      <c r="V97" s="77"/>
    </row>
    <row r="98" spans="2:22" ht="18">
      <c r="B98" s="224" t="s">
        <v>16</v>
      </c>
      <c r="C98" s="3">
        <f t="shared" si="5"/>
        <v>114</v>
      </c>
      <c r="D98" s="20">
        <f t="shared" si="5"/>
        <v>94</v>
      </c>
      <c r="E98" s="3">
        <f t="shared" si="6"/>
        <v>208</v>
      </c>
      <c r="F98" s="80"/>
      <c r="G98" s="233" t="s">
        <v>61</v>
      </c>
      <c r="H98" s="216">
        <f>SUM(C96:C100)</f>
        <v>615</v>
      </c>
      <c r="I98" s="213"/>
      <c r="J98" s="80"/>
      <c r="K98" s="21"/>
      <c r="L98" s="74"/>
      <c r="M98" s="75"/>
      <c r="N98" s="75"/>
      <c r="O98" s="75"/>
      <c r="P98" s="75"/>
      <c r="Q98" s="75"/>
      <c r="R98" s="75"/>
      <c r="S98" s="76"/>
      <c r="T98" s="76"/>
      <c r="U98" s="76"/>
      <c r="V98" s="77"/>
    </row>
    <row r="99" spans="2:22" ht="18">
      <c r="B99" s="224" t="s">
        <v>17</v>
      </c>
      <c r="C99" s="3">
        <f t="shared" si="5"/>
        <v>134</v>
      </c>
      <c r="D99" s="20">
        <f t="shared" si="5"/>
        <v>123</v>
      </c>
      <c r="E99" s="3">
        <f t="shared" si="6"/>
        <v>257</v>
      </c>
      <c r="F99" s="80"/>
      <c r="G99" s="234" t="s">
        <v>62</v>
      </c>
      <c r="H99" s="217">
        <f>SUM(D101:D104)</f>
        <v>365</v>
      </c>
      <c r="I99" s="213"/>
      <c r="J99" s="80"/>
      <c r="K99" s="21"/>
      <c r="L99" s="74"/>
      <c r="M99" s="75"/>
      <c r="N99" s="75"/>
      <c r="O99" s="75"/>
      <c r="P99" s="75"/>
      <c r="Q99" s="75"/>
      <c r="R99" s="75"/>
      <c r="S99" s="76"/>
      <c r="T99" s="76"/>
      <c r="U99" s="76"/>
      <c r="V99" s="77"/>
    </row>
    <row r="100" spans="2:22" ht="18">
      <c r="B100" s="224" t="s">
        <v>18</v>
      </c>
      <c r="C100" s="3">
        <f t="shared" si="5"/>
        <v>133</v>
      </c>
      <c r="D100" s="20">
        <f t="shared" si="5"/>
        <v>99</v>
      </c>
      <c r="E100" s="3">
        <f t="shared" si="6"/>
        <v>232</v>
      </c>
      <c r="F100" s="80"/>
      <c r="G100" s="235" t="s">
        <v>65</v>
      </c>
      <c r="H100" s="218">
        <f>SUM(E92:E95)</f>
        <v>839</v>
      </c>
      <c r="I100" s="213"/>
      <c r="J100" s="80"/>
      <c r="K100" s="21"/>
      <c r="L100" s="74"/>
      <c r="M100" s="75"/>
      <c r="N100" s="75"/>
      <c r="O100" s="75"/>
      <c r="P100" s="75"/>
      <c r="Q100" s="75"/>
      <c r="R100" s="75"/>
      <c r="S100" s="76"/>
      <c r="T100" s="76"/>
      <c r="U100" s="76"/>
      <c r="V100" s="77"/>
    </row>
    <row r="101" spans="2:22" ht="18">
      <c r="B101" s="224" t="s">
        <v>19</v>
      </c>
      <c r="C101" s="3">
        <f t="shared" si="5"/>
        <v>126</v>
      </c>
      <c r="D101" s="20">
        <f t="shared" si="5"/>
        <v>104</v>
      </c>
      <c r="E101" s="3">
        <f t="shared" si="6"/>
        <v>230</v>
      </c>
      <c r="F101" s="81"/>
      <c r="G101" s="234" t="s">
        <v>59</v>
      </c>
      <c r="H101" s="217">
        <f>SUM(E105:E108)</f>
        <v>451</v>
      </c>
      <c r="I101" s="213"/>
      <c r="J101" s="81"/>
      <c r="K101" s="21"/>
      <c r="L101" s="74"/>
      <c r="M101" s="75"/>
      <c r="N101" s="75"/>
      <c r="O101" s="75"/>
      <c r="P101" s="75"/>
      <c r="Q101" s="75"/>
      <c r="R101" s="75"/>
      <c r="S101" s="76"/>
      <c r="T101" s="76"/>
      <c r="U101" s="76"/>
      <c r="V101" s="77"/>
    </row>
    <row r="102" spans="2:22" ht="18">
      <c r="B102" s="224" t="s">
        <v>20</v>
      </c>
      <c r="C102" s="3">
        <f t="shared" si="5"/>
        <v>131</v>
      </c>
      <c r="D102" s="20">
        <f t="shared" si="5"/>
        <v>108</v>
      </c>
      <c r="E102" s="3">
        <f t="shared" si="6"/>
        <v>239</v>
      </c>
      <c r="F102" s="80"/>
      <c r="G102" s="235" t="s">
        <v>57</v>
      </c>
      <c r="H102" s="218">
        <f>ROUND(H$18*38%,0)</f>
        <v>42</v>
      </c>
      <c r="I102" s="213"/>
      <c r="J102" s="80"/>
      <c r="K102" s="21"/>
      <c r="L102" s="74"/>
      <c r="M102" s="75"/>
      <c r="N102" s="75"/>
      <c r="O102" s="75"/>
      <c r="P102" s="75"/>
      <c r="Q102" s="75"/>
      <c r="R102" s="75"/>
      <c r="S102" s="76"/>
      <c r="T102" s="76"/>
      <c r="U102" s="76"/>
      <c r="V102" s="77"/>
    </row>
    <row r="103" spans="2:22" ht="18">
      <c r="B103" s="224" t="s">
        <v>21</v>
      </c>
      <c r="C103" s="3">
        <f t="shared" si="5"/>
        <v>111</v>
      </c>
      <c r="D103" s="20">
        <f t="shared" si="5"/>
        <v>78</v>
      </c>
      <c r="E103" s="3">
        <f t="shared" si="6"/>
        <v>189</v>
      </c>
      <c r="F103" s="80"/>
      <c r="G103" s="234" t="s">
        <v>58</v>
      </c>
      <c r="H103" s="218">
        <f>ROUND(H$19*38%,0)</f>
        <v>46</v>
      </c>
      <c r="I103" s="213"/>
      <c r="J103" s="80"/>
      <c r="K103" s="21"/>
      <c r="L103" s="74"/>
      <c r="M103" s="75"/>
      <c r="N103" s="75"/>
      <c r="O103" s="75"/>
      <c r="P103" s="75"/>
      <c r="Q103" s="75"/>
      <c r="R103" s="75"/>
      <c r="S103" s="76"/>
      <c r="T103" s="76"/>
      <c r="U103" s="76"/>
      <c r="V103" s="77"/>
    </row>
    <row r="104" spans="2:22" ht="18.75" thickBot="1">
      <c r="B104" s="224" t="s">
        <v>22</v>
      </c>
      <c r="C104" s="3">
        <f t="shared" si="5"/>
        <v>85</v>
      </c>
      <c r="D104" s="20">
        <f t="shared" si="5"/>
        <v>75</v>
      </c>
      <c r="E104" s="3">
        <f t="shared" si="6"/>
        <v>160</v>
      </c>
      <c r="F104" s="80"/>
      <c r="G104" s="236" t="s">
        <v>64</v>
      </c>
      <c r="H104" s="219">
        <f>ROUND(H$20*38%,0)</f>
        <v>32</v>
      </c>
      <c r="I104" s="213"/>
      <c r="J104" s="80"/>
      <c r="L104" s="74"/>
      <c r="M104" s="75"/>
      <c r="N104" s="75"/>
      <c r="O104" s="75"/>
      <c r="P104" s="75"/>
      <c r="Q104" s="75"/>
      <c r="R104" s="75"/>
      <c r="S104" s="76"/>
      <c r="T104" s="76"/>
      <c r="U104" s="76"/>
      <c r="V104" s="77"/>
    </row>
    <row r="105" spans="2:22" ht="18">
      <c r="B105" s="224" t="s">
        <v>23</v>
      </c>
      <c r="C105" s="3">
        <f t="shared" si="5"/>
        <v>85</v>
      </c>
      <c r="D105" s="20">
        <f t="shared" si="5"/>
        <v>68</v>
      </c>
      <c r="E105" s="3">
        <f t="shared" si="6"/>
        <v>153</v>
      </c>
      <c r="F105" s="80"/>
      <c r="G105" s="200" t="s">
        <v>104</v>
      </c>
      <c r="H105" s="216">
        <f>ROUND(H$21*38%,0)</f>
        <v>32</v>
      </c>
      <c r="I105" s="80"/>
      <c r="J105" s="80"/>
      <c r="L105" s="74"/>
      <c r="M105" s="75"/>
      <c r="N105" s="75"/>
      <c r="O105" s="75"/>
      <c r="P105" s="75"/>
      <c r="Q105" s="75"/>
      <c r="R105" s="75"/>
      <c r="S105" s="76"/>
      <c r="T105" s="76"/>
      <c r="U105" s="76"/>
      <c r="V105" s="77"/>
    </row>
    <row r="106" spans="2:22" ht="18.75" thickBot="1">
      <c r="B106" s="224" t="s">
        <v>24</v>
      </c>
      <c r="C106" s="3">
        <f t="shared" si="5"/>
        <v>57</v>
      </c>
      <c r="D106" s="20">
        <f t="shared" si="5"/>
        <v>49</v>
      </c>
      <c r="E106" s="3">
        <f t="shared" si="6"/>
        <v>106</v>
      </c>
      <c r="F106" s="80"/>
      <c r="G106" s="268" t="s">
        <v>105</v>
      </c>
      <c r="H106" s="219">
        <f>ROUND(H$22*38%,0)</f>
        <v>38</v>
      </c>
      <c r="I106" s="80"/>
      <c r="J106" s="80"/>
      <c r="L106" s="74"/>
      <c r="M106" s="75"/>
      <c r="N106" s="75"/>
      <c r="O106" s="75"/>
      <c r="P106" s="75"/>
      <c r="Q106" s="75"/>
      <c r="R106" s="75"/>
      <c r="S106" s="76"/>
      <c r="T106" s="76"/>
      <c r="U106" s="76"/>
      <c r="V106" s="77"/>
    </row>
    <row r="107" spans="2:22" ht="18">
      <c r="B107" s="224" t="s">
        <v>25</v>
      </c>
      <c r="C107" s="3">
        <f t="shared" si="5"/>
        <v>52</v>
      </c>
      <c r="D107" s="20">
        <f t="shared" si="5"/>
        <v>36</v>
      </c>
      <c r="E107" s="3">
        <f t="shared" si="6"/>
        <v>88</v>
      </c>
      <c r="F107" s="81"/>
      <c r="G107" s="81"/>
      <c r="H107" s="81"/>
      <c r="I107" s="81"/>
      <c r="J107" s="81"/>
      <c r="L107" s="74"/>
      <c r="M107" s="75"/>
      <c r="N107" s="75"/>
      <c r="O107" s="75"/>
      <c r="P107" s="75"/>
      <c r="Q107" s="75"/>
      <c r="R107" s="75"/>
      <c r="S107" s="76"/>
      <c r="T107" s="76"/>
      <c r="U107" s="76"/>
      <c r="V107" s="77"/>
    </row>
    <row r="108" spans="2:22" ht="18.75" thickBot="1">
      <c r="B108" s="224" t="s">
        <v>26</v>
      </c>
      <c r="C108" s="3">
        <f t="shared" si="5"/>
        <v>59</v>
      </c>
      <c r="D108" s="20">
        <f t="shared" si="5"/>
        <v>45</v>
      </c>
      <c r="E108" s="3">
        <f t="shared" si="6"/>
        <v>104</v>
      </c>
      <c r="F108" s="80"/>
      <c r="G108" s="80"/>
      <c r="H108" s="80"/>
      <c r="I108" s="80"/>
      <c r="J108" s="80"/>
      <c r="L108" s="74"/>
      <c r="M108" s="75"/>
      <c r="N108" s="75"/>
      <c r="O108" s="75"/>
      <c r="P108" s="75"/>
      <c r="Q108" s="75"/>
      <c r="R108" s="75"/>
      <c r="S108" s="76"/>
      <c r="T108" s="76"/>
      <c r="U108" s="76"/>
      <c r="V108" s="77"/>
    </row>
    <row r="109" spans="2:22" ht="21" thickBot="1">
      <c r="B109" s="237" t="s">
        <v>14</v>
      </c>
      <c r="C109" s="227">
        <f>SUM(C92:C108)</f>
        <v>1752</v>
      </c>
      <c r="D109" s="228">
        <f>SUM(D92:D108)</f>
        <v>1481</v>
      </c>
      <c r="E109" s="227">
        <f>SUM(E92:E108)</f>
        <v>3233</v>
      </c>
      <c r="F109" s="239">
        <v>0.38</v>
      </c>
      <c r="G109" s="80"/>
      <c r="H109" s="80"/>
      <c r="I109" s="80"/>
      <c r="J109" s="80"/>
      <c r="L109" s="82"/>
      <c r="M109" s="83"/>
      <c r="N109" s="83"/>
      <c r="O109" s="83"/>
      <c r="P109" s="83"/>
      <c r="Q109" s="83"/>
      <c r="R109" s="83"/>
      <c r="S109" s="83"/>
      <c r="T109" s="83"/>
      <c r="U109" s="83"/>
      <c r="V109" s="77"/>
    </row>
    <row r="110" spans="2:10" ht="18">
      <c r="B110" s="78"/>
      <c r="D110" s="71"/>
      <c r="F110" s="80"/>
      <c r="G110" s="80"/>
      <c r="H110" s="80"/>
      <c r="I110" s="80"/>
      <c r="J110" s="80"/>
    </row>
    <row r="111" spans="2:10" ht="18">
      <c r="B111" s="79"/>
      <c r="C111" s="80"/>
      <c r="D111" s="80"/>
      <c r="E111" s="80"/>
      <c r="F111" s="80"/>
      <c r="G111" s="80"/>
      <c r="H111" s="80"/>
      <c r="I111" s="80"/>
      <c r="J111" s="80"/>
    </row>
    <row r="112" spans="2:10" ht="18">
      <c r="B112" s="79"/>
      <c r="C112" s="80"/>
      <c r="D112" s="81"/>
      <c r="E112" s="81"/>
      <c r="F112" s="81"/>
      <c r="G112" s="81"/>
      <c r="H112" s="81"/>
      <c r="I112" s="81"/>
      <c r="J112" s="81"/>
    </row>
    <row r="113" spans="2:10" ht="18">
      <c r="B113" s="74"/>
      <c r="C113" s="80"/>
      <c r="D113" s="80"/>
      <c r="E113" s="80"/>
      <c r="F113" s="80"/>
      <c r="G113" s="80"/>
      <c r="H113" s="80"/>
      <c r="I113" s="80"/>
      <c r="J113" s="80"/>
    </row>
    <row r="114" spans="2:10" ht="18">
      <c r="B114" s="74"/>
      <c r="C114" s="80"/>
      <c r="D114" s="80"/>
      <c r="E114" s="80"/>
      <c r="F114" s="80"/>
      <c r="G114" s="80"/>
      <c r="H114" s="80"/>
      <c r="I114" s="80"/>
      <c r="J114" s="80"/>
    </row>
    <row r="115" spans="2:10" ht="18">
      <c r="B115" s="74"/>
      <c r="C115" s="80"/>
      <c r="D115" s="80"/>
      <c r="E115" s="80"/>
      <c r="F115" s="80"/>
      <c r="G115" s="80"/>
      <c r="H115" s="80"/>
      <c r="I115" s="80"/>
      <c r="J115" s="80"/>
    </row>
    <row r="116" spans="2:10" ht="18">
      <c r="B116" s="74"/>
      <c r="C116" s="80"/>
      <c r="D116" s="80"/>
      <c r="E116" s="80"/>
      <c r="F116" s="80"/>
      <c r="G116" s="80"/>
      <c r="H116" s="80"/>
      <c r="I116" s="80"/>
      <c r="J116" s="80"/>
    </row>
    <row r="117" spans="2:10" ht="18">
      <c r="B117" s="74"/>
      <c r="C117" s="80"/>
      <c r="D117" s="80"/>
      <c r="E117" s="80"/>
      <c r="F117" s="80"/>
      <c r="G117" s="80"/>
      <c r="H117" s="80"/>
      <c r="I117" s="80"/>
      <c r="J117" s="80"/>
    </row>
    <row r="118" spans="2:10" ht="18">
      <c r="B118" s="74"/>
      <c r="C118" s="80"/>
      <c r="D118" s="80"/>
      <c r="E118" s="80"/>
      <c r="F118" s="80"/>
      <c r="G118" s="80"/>
      <c r="H118" s="80"/>
      <c r="I118" s="80"/>
      <c r="J118" s="80"/>
    </row>
    <row r="119" spans="2:10" ht="18">
      <c r="B119" s="74"/>
      <c r="C119" s="80"/>
      <c r="D119" s="80"/>
      <c r="E119" s="80"/>
      <c r="F119" s="80"/>
      <c r="G119" s="80"/>
      <c r="H119" s="80"/>
      <c r="I119" s="80"/>
      <c r="J119" s="80"/>
    </row>
    <row r="120" spans="2:10" ht="18">
      <c r="B120" s="74"/>
      <c r="C120" s="80"/>
      <c r="D120" s="80"/>
      <c r="E120" s="80"/>
      <c r="F120" s="80"/>
      <c r="G120" s="80"/>
      <c r="H120" s="80"/>
      <c r="I120" s="80"/>
      <c r="J120" s="80"/>
    </row>
    <row r="121" spans="2:10" ht="18">
      <c r="B121" s="74"/>
      <c r="C121" s="80"/>
      <c r="D121" s="80"/>
      <c r="E121" s="80"/>
      <c r="F121" s="80"/>
      <c r="G121" s="80"/>
      <c r="H121" s="80"/>
      <c r="I121" s="80"/>
      <c r="J121" s="80"/>
    </row>
    <row r="122" spans="2:10" ht="18">
      <c r="B122" s="74"/>
      <c r="C122" s="80"/>
      <c r="D122" s="80"/>
      <c r="E122" s="80"/>
      <c r="F122" s="80"/>
      <c r="G122" s="80"/>
      <c r="H122" s="80"/>
      <c r="I122" s="80"/>
      <c r="J122" s="80"/>
    </row>
    <row r="123" spans="2:10" ht="18">
      <c r="B123" s="74"/>
      <c r="C123" s="80"/>
      <c r="D123" s="80"/>
      <c r="E123" s="80"/>
      <c r="F123" s="80"/>
      <c r="G123" s="80"/>
      <c r="H123" s="80"/>
      <c r="I123" s="80"/>
      <c r="J123" s="80"/>
    </row>
    <row r="124" spans="2:10" ht="18">
      <c r="B124" s="74"/>
      <c r="C124" s="80"/>
      <c r="D124" s="80"/>
      <c r="E124" s="80"/>
      <c r="F124" s="80"/>
      <c r="G124" s="80"/>
      <c r="H124" s="80"/>
      <c r="I124" s="80"/>
      <c r="J124" s="80"/>
    </row>
    <row r="125" spans="2:10" ht="18">
      <c r="B125" s="74"/>
      <c r="C125" s="80"/>
      <c r="D125" s="80"/>
      <c r="E125" s="80"/>
      <c r="F125" s="80"/>
      <c r="G125" s="80"/>
      <c r="H125" s="80"/>
      <c r="I125" s="80"/>
      <c r="J125" s="80"/>
    </row>
    <row r="126" spans="2:10" ht="18">
      <c r="B126" s="74"/>
      <c r="C126" s="80"/>
      <c r="D126" s="80"/>
      <c r="E126" s="80"/>
      <c r="F126" s="80"/>
      <c r="G126" s="80"/>
      <c r="H126" s="80"/>
      <c r="I126" s="80"/>
      <c r="J126" s="80"/>
    </row>
    <row r="127" spans="2:10" ht="20.25">
      <c r="B127" s="82"/>
      <c r="C127" s="80"/>
      <c r="D127" s="80"/>
      <c r="E127" s="80"/>
      <c r="F127" s="80"/>
      <c r="G127" s="80"/>
      <c r="H127" s="80"/>
      <c r="I127" s="80"/>
      <c r="J127" s="80"/>
    </row>
    <row r="128" spans="2:10" ht="15.75">
      <c r="B128" s="38"/>
      <c r="C128" s="80"/>
      <c r="D128" s="80"/>
      <c r="E128" s="80"/>
      <c r="F128" s="80"/>
      <c r="G128" s="80"/>
      <c r="H128" s="80"/>
      <c r="I128" s="80"/>
      <c r="J128" s="80"/>
    </row>
    <row r="129" spans="2:10" ht="15">
      <c r="B129" s="38"/>
      <c r="C129" s="38"/>
      <c r="D129" s="38"/>
      <c r="E129" s="38"/>
      <c r="F129" s="38"/>
      <c r="G129" s="38"/>
      <c r="H129" s="38"/>
      <c r="I129" s="38"/>
      <c r="J129" s="38"/>
    </row>
    <row r="130" spans="2:10" ht="15"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2:10" ht="15">
      <c r="B131" s="38"/>
      <c r="C131" s="38"/>
      <c r="D131" s="38"/>
      <c r="E131" s="38"/>
      <c r="F131" s="38"/>
      <c r="G131" s="38"/>
      <c r="H131" s="38"/>
      <c r="I131" s="38"/>
      <c r="J131" s="38"/>
    </row>
    <row r="132" spans="2:10" ht="15">
      <c r="B132" s="38"/>
      <c r="C132" s="38"/>
      <c r="D132" s="38"/>
      <c r="E132" s="38"/>
      <c r="F132" s="38"/>
      <c r="G132" s="38"/>
      <c r="H132" s="38"/>
      <c r="I132" s="38"/>
      <c r="J132" s="38"/>
    </row>
  </sheetData>
  <sheetProtection/>
  <mergeCells count="26">
    <mergeCell ref="B1:J1"/>
    <mergeCell ref="G3:J4"/>
    <mergeCell ref="C69:E69"/>
    <mergeCell ref="F6:F7"/>
    <mergeCell ref="B90:B91"/>
    <mergeCell ref="G90:G91"/>
    <mergeCell ref="H90:J90"/>
    <mergeCell ref="G69:G70"/>
    <mergeCell ref="H69:J69"/>
    <mergeCell ref="B69:B70"/>
    <mergeCell ref="G6:G7"/>
    <mergeCell ref="H6:J6"/>
    <mergeCell ref="B6:B7"/>
    <mergeCell ref="C6:E6"/>
    <mergeCell ref="C90:E90"/>
    <mergeCell ref="G24:J25"/>
    <mergeCell ref="B27:B28"/>
    <mergeCell ref="C27:E27"/>
    <mergeCell ref="F27:F28"/>
    <mergeCell ref="G27:G28"/>
    <mergeCell ref="H27:J27"/>
    <mergeCell ref="B48:B49"/>
    <mergeCell ref="C48:E48"/>
    <mergeCell ref="F48:F49"/>
    <mergeCell ref="G48:G49"/>
    <mergeCell ref="H48:J48"/>
  </mergeCells>
  <printOptions horizontalCentered="1"/>
  <pageMargins left="0.35433070866141736" right="0.35433070866141736" top="0.5118110236220472" bottom="0.7480314960629921" header="0.31496062992125984" footer="0.31496062992125984"/>
  <pageSetup horizontalDpi="600" verticalDpi="600" orientation="portrait" scale="75" r:id="rId1"/>
  <headerFooter>
    <oddFooter>&amp;C&amp;"-,Cursiva"&amp;K01+049Depto. Estadísticas y Gestión de la Información - Servicio de Salud Osorno</oddFooter>
  </headerFooter>
  <ignoredErrors>
    <ignoredError sqref="H9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Servicio Salud Osorno</cp:lastModifiedBy>
  <cp:lastPrinted>2015-01-08T14:43:51Z</cp:lastPrinted>
  <dcterms:created xsi:type="dcterms:W3CDTF">2012-01-06T14:59:33Z</dcterms:created>
  <dcterms:modified xsi:type="dcterms:W3CDTF">2015-01-26T11:55:25Z</dcterms:modified>
  <cp:category/>
  <cp:version/>
  <cp:contentType/>
  <cp:contentStatus/>
</cp:coreProperties>
</file>